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95" yWindow="65281" windowWidth="13665" windowHeight="12555" tabRatio="800" activeTab="2"/>
  </bookViews>
  <sheets>
    <sheet name="січень (тимчасовий)" sheetId="1" r:id="rId1"/>
    <sheet name="лютий(тимч.)" sheetId="2" r:id="rId2"/>
    <sheet name="лютий" sheetId="3" r:id="rId3"/>
  </sheets>
  <definedNames>
    <definedName name="_xlnm.Print_Titles" localSheetId="2">'лютий'!$3:$5</definedName>
    <definedName name="_xlnm.Print_Titles" localSheetId="1">'лютий(тимч.)'!$3:$5</definedName>
    <definedName name="_xlnm.Print_Titles" localSheetId="0">'січень (тимчасовий)'!$3:$5</definedName>
  </definedNames>
  <calcPr fullCalcOnLoad="1"/>
</workbook>
</file>

<file path=xl/sharedStrings.xml><?xml version="1.0" encoding="utf-8"?>
<sst xmlns="http://schemas.openxmlformats.org/spreadsheetml/2006/main" count="482" uniqueCount="123">
  <si>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</si>
  <si>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</si>
  <si>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</si>
  <si>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</si>
  <si>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</si>
  <si>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</si>
  <si>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</si>
  <si>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</si>
  <si>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</si>
  <si>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</si>
  <si>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</si>
  <si>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</si>
  <si>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</si>
  <si>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</si>
  <si>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</si>
  <si>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</si>
  <si>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</si>
  <si>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</si>
  <si>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</si>
  <si>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</si>
  <si>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</si>
  <si>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</si>
  <si>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</si>
  <si>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</si>
  <si>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</si>
  <si>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</si>
  <si>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</si>
  <si>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</si>
  <si>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</si>
  <si>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</si>
  <si>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</si>
  <si>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</si>
  <si>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</si>
  <si>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</si>
  <si>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</si>
  <si>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</si>
  <si>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</si>
  <si>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</si>
  <si>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</si>
  <si>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</si>
  <si>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</si>
  <si>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</si>
  <si>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</si>
  <si>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</si>
  <si>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</si>
  <si>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</si>
  <si>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</si>
  <si>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</si>
  <si>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</si>
  <si>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</si>
  <si>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</si>
  <si>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</si>
  <si>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</si>
  <si>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</si>
  <si>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</si>
  <si>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</si>
  <si>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</si>
  <si>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</si>
  <si>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</si>
  <si>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</si>
  <si>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</si>
  <si>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</si>
  <si>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</si>
  <si>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</si>
  <si>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</si>
  <si>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</si>
  <si>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</si>
  <si>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</si>
  <si>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</si>
  <si>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</si>
  <si>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</si>
  <si>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</si>
  <si>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</si>
  <si>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</si>
  <si>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</si>
  <si>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</si>
  <si>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</si>
  <si>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</si>
  <si>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</si>
  <si>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</si>
  <si>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</si>
  <si>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</si>
  <si>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</si>
  <si>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</si>
  <si>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</si>
  <si>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</si>
  <si>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</si>
  <si>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</si>
  <si>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</si>
  <si>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</si>
  <si>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</si>
  <si>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</si>
  <si>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</si>
  <si>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</si>
  <si>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</si>
  <si>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</si>
  <si>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</si>
  <si>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</si>
  <si>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</si>
  <si>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</si>
  <si>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</si>
  <si>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</si>
  <si>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</si>
  <si>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</si>
  <si>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</si>
  <si>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</si>
  <si>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</si>
  <si>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</si>
  <si>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</si>
  <si>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31.01.2019 року</t>
  </si>
  <si>
    <t>Аналіз використання коштів загального фонду міського бюджету станом на 15.02.2019 року</t>
  </si>
  <si>
    <t>Тимчасовий план на 2 місяці тис.грн.</t>
  </si>
  <si>
    <t>Відхилення від тимчасового плану лютого, тис.грн.</t>
  </si>
  <si>
    <t>Аналіз використання коштів загального фонду міського бюджету станом на 28.02.2019 року</t>
  </si>
  <si>
    <t>План на 2 місяці тис.грн.</t>
  </si>
  <si>
    <t>План на рік, тис.грн.</t>
  </si>
  <si>
    <t>Відсоток виконання  плану 2 місяців</t>
  </si>
  <si>
    <t>Відсоток виконання плану на рік</t>
  </si>
  <si>
    <t>Відхилення від  плану 2 місяців, тис.грн.</t>
  </si>
  <si>
    <t>Відхилення від плану на рік, тис.грн.</t>
  </si>
  <si>
    <t>Членські внески до асоціацій ОМС</t>
  </si>
  <si>
    <t>Програма здійсн.зах., що не передб.в бюджеті</t>
  </si>
  <si>
    <t>ен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</si>
</sst>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8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4" xfId="0" applyNumberFormat="1" applyFont="1" applyFill="1" applyBorder="1" applyAlignment="1">
      <alignment wrapText="1"/>
    </xf>
    <xf numFmtId="190" fontId="5" fillId="36" borderId="10" xfId="0" applyNumberFormat="1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190" fontId="4" fillId="36" borderId="13" xfId="0" applyNumberFormat="1" applyFont="1" applyFill="1" applyBorder="1" applyAlignment="1">
      <alignment vertical="center" wrapText="1"/>
    </xf>
    <xf numFmtId="190" fontId="4" fillId="36" borderId="13" xfId="0" applyNumberFormat="1" applyFont="1" applyFill="1" applyBorder="1" applyAlignment="1">
      <alignment/>
    </xf>
    <xf numFmtId="190" fontId="4" fillId="36" borderId="11" xfId="0" applyNumberFormat="1" applyFont="1" applyFill="1" applyBorder="1" applyAlignment="1">
      <alignment/>
    </xf>
    <xf numFmtId="189" fontId="4" fillId="36" borderId="11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indexed="10"/>
      </font>
    </dxf>
    <dxf>
      <fill>
        <patternFill patternType="solid">
          <bgColor indexed="9"/>
        </patternFill>
      </fill>
    </dxf>
    <dxf>
      <font>
        <color indexed="10"/>
      </font>
    </dxf>
    <dxf>
      <fill>
        <patternFill patternType="solid">
          <bgColor indexed="9"/>
        </patternFill>
      </fill>
    </dxf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view="pageBreakPreview" zoomScale="85" zoomScaleNormal="80" zoomScaleSheetLayoutView="85" workbookViewId="0" topLeftCell="A4">
      <selection activeCell="A38" sqref="A38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66.75" customHeight="1">
      <c r="A1" s="171" t="s">
        <v>109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5"/>
      <c r="B2" s="15"/>
      <c r="C2" s="8"/>
      <c r="D2" s="8"/>
      <c r="E2" s="8"/>
      <c r="F2" s="8"/>
      <c r="G2" s="8"/>
      <c r="H2" s="8"/>
    </row>
    <row r="3" spans="1:9" ht="29.25" customHeight="1">
      <c r="A3" s="175" t="s">
        <v>37</v>
      </c>
      <c r="B3" s="178" t="s">
        <v>103</v>
      </c>
      <c r="C3" s="172" t="s">
        <v>104</v>
      </c>
      <c r="D3" s="172" t="s">
        <v>22</v>
      </c>
      <c r="E3" s="172" t="s">
        <v>21</v>
      </c>
      <c r="F3" s="172" t="s">
        <v>105</v>
      </c>
      <c r="G3" s="172" t="s">
        <v>106</v>
      </c>
      <c r="H3" s="172" t="s">
        <v>107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150"/>
    </row>
    <row r="6" spans="1:11" ht="18.75" thickBot="1">
      <c r="A6" s="16" t="s">
        <v>26</v>
      </c>
      <c r="B6" s="33">
        <f>68805.8+1143.1</f>
        <v>69948.90000000001</v>
      </c>
      <c r="C6" s="34">
        <f>206417.4+3429.4</f>
        <v>209846.8</v>
      </c>
      <c r="D6" s="35">
        <f>11099.2+9623.1+1.9+134.7+531.1+44.4+1464.8+43.3+356.7+16648.5+1044.7+22.2+15069.2</f>
        <v>56083.8</v>
      </c>
      <c r="E6" s="3">
        <f>D6/D154*100</f>
        <v>49.11020062189196</v>
      </c>
      <c r="F6" s="3">
        <f>D6/B6*100</f>
        <v>80.1782444041293</v>
      </c>
      <c r="G6" s="3">
        <f aca="true" t="shared" si="0" ref="G6:G43">D6/C6*100</f>
        <v>26.726068732046432</v>
      </c>
      <c r="H6" s="35">
        <f>B6-D6</f>
        <v>13865.100000000006</v>
      </c>
      <c r="I6" s="35">
        <f aca="true" t="shared" si="1" ref="I6:I43">C6-D6</f>
        <v>153763</v>
      </c>
      <c r="J6" s="151"/>
      <c r="K6" s="152"/>
    </row>
    <row r="7" spans="1:12" s="83" customFormat="1" ht="18.75">
      <c r="A7" s="126" t="s">
        <v>78</v>
      </c>
      <c r="B7" s="127">
        <f>21876.5+1143.1</f>
        <v>23019.6</v>
      </c>
      <c r="C7" s="128">
        <f>65629.4+3429.4+12063.7</f>
        <v>81122.49999999999</v>
      </c>
      <c r="D7" s="129">
        <f>9623.1+1044.7</f>
        <v>10667.800000000001</v>
      </c>
      <c r="E7" s="130">
        <f>D7/D6*100</f>
        <v>19.021179021392985</v>
      </c>
      <c r="F7" s="130">
        <f>D7/B7*100</f>
        <v>46.34224747606389</v>
      </c>
      <c r="G7" s="130">
        <f>D7/C7*100</f>
        <v>13.150235754568712</v>
      </c>
      <c r="H7" s="129">
        <f>B7-D7</f>
        <v>12351.799999999997</v>
      </c>
      <c r="I7" s="129">
        <f t="shared" si="1"/>
        <v>70454.69999999998</v>
      </c>
      <c r="J7" s="146"/>
      <c r="K7" s="152"/>
      <c r="L7" s="125"/>
    </row>
    <row r="8" spans="1:12" s="150" customFormat="1" ht="18">
      <c r="A8" s="90" t="s">
        <v>3</v>
      </c>
      <c r="B8" s="112">
        <f>55274+1143.1+2.4</f>
        <v>56419.5</v>
      </c>
      <c r="C8" s="113">
        <f>161323.9+3429.4</f>
        <v>164753.3</v>
      </c>
      <c r="D8" s="92">
        <f>20722.3+1.9+16592.9+1044.7+15069.2</f>
        <v>53431</v>
      </c>
      <c r="E8" s="94">
        <f>D8/D6*100</f>
        <v>95.26993534674897</v>
      </c>
      <c r="F8" s="94">
        <f>D8/B8*100</f>
        <v>94.7030725192531</v>
      </c>
      <c r="G8" s="94">
        <f t="shared" si="0"/>
        <v>32.43091337168968</v>
      </c>
      <c r="H8" s="92">
        <f>B8-D8</f>
        <v>2988.5</v>
      </c>
      <c r="I8" s="92">
        <f t="shared" si="1"/>
        <v>111322.29999999999</v>
      </c>
      <c r="J8" s="151"/>
      <c r="K8" s="152"/>
      <c r="L8" s="125"/>
    </row>
    <row r="9" spans="1:12" s="150" customFormat="1" ht="18">
      <c r="A9" s="90" t="s">
        <v>2</v>
      </c>
      <c r="B9" s="112"/>
      <c r="C9" s="113"/>
      <c r="D9" s="92"/>
      <c r="E9" s="114">
        <f>D9/D6*100</f>
        <v>0</v>
      </c>
      <c r="F9" s="94" t="e">
        <f>D9/B9*100</f>
        <v>#DIV/0!</v>
      </c>
      <c r="G9" s="94" t="e">
        <f t="shared" si="0"/>
        <v>#DIV/0!</v>
      </c>
      <c r="H9" s="92">
        <f aca="true" t="shared" si="2" ref="H9:H43">B9-D9</f>
        <v>0</v>
      </c>
      <c r="I9" s="92">
        <f t="shared" si="1"/>
        <v>0</v>
      </c>
      <c r="J9" s="151"/>
      <c r="K9" s="152"/>
      <c r="L9" s="125"/>
    </row>
    <row r="10" spans="1:12" s="150" customFormat="1" ht="18">
      <c r="A10" s="90" t="s">
        <v>1</v>
      </c>
      <c r="B10" s="112">
        <v>4200.6</v>
      </c>
      <c r="C10" s="113">
        <f>13313.7</f>
        <v>13313.7</v>
      </c>
      <c r="D10" s="131">
        <f>525.8+44.4+601.2+43.3+356.4+55.6+22.2</f>
        <v>1648.8999999999999</v>
      </c>
      <c r="E10" s="94">
        <f>D10/D6*100</f>
        <v>2.9400646889119493</v>
      </c>
      <c r="F10" s="94">
        <f aca="true" t="shared" si="3" ref="F10:F41">D10/B10*100</f>
        <v>39.25391610722277</v>
      </c>
      <c r="G10" s="94">
        <f t="shared" si="0"/>
        <v>12.384986893200235</v>
      </c>
      <c r="H10" s="92">
        <f t="shared" si="2"/>
        <v>2551.7000000000007</v>
      </c>
      <c r="I10" s="92">
        <f t="shared" si="1"/>
        <v>11664.800000000001</v>
      </c>
      <c r="J10" s="151"/>
      <c r="K10" s="152"/>
      <c r="L10" s="125"/>
    </row>
    <row r="11" spans="1:12" s="150" customFormat="1" ht="18">
      <c r="A11" s="90" t="s">
        <v>0</v>
      </c>
      <c r="B11" s="112">
        <v>8061.6</v>
      </c>
      <c r="C11" s="113">
        <v>27896.7</v>
      </c>
      <c r="D11" s="132"/>
      <c r="E11" s="94">
        <f>D11/D6*100</f>
        <v>0</v>
      </c>
      <c r="F11" s="94">
        <f t="shared" si="3"/>
        <v>0</v>
      </c>
      <c r="G11" s="94">
        <f t="shared" si="0"/>
        <v>0</v>
      </c>
      <c r="H11" s="92">
        <f t="shared" si="2"/>
        <v>8061.6</v>
      </c>
      <c r="I11" s="92">
        <f t="shared" si="1"/>
        <v>27896.7</v>
      </c>
      <c r="J11" s="151"/>
      <c r="K11" s="152"/>
      <c r="L11" s="125"/>
    </row>
    <row r="12" spans="1:12" s="150" customFormat="1" ht="18">
      <c r="A12" s="90" t="s">
        <v>14</v>
      </c>
      <c r="B12" s="112">
        <v>1047.3</v>
      </c>
      <c r="C12" s="113">
        <v>3222.6</v>
      </c>
      <c r="D12" s="92">
        <f>134.7+863.6</f>
        <v>998.3</v>
      </c>
      <c r="E12" s="94">
        <f>D12/D6*100</f>
        <v>1.7800149062652673</v>
      </c>
      <c r="F12" s="94">
        <f t="shared" si="3"/>
        <v>95.32130239663897</v>
      </c>
      <c r="G12" s="94">
        <f t="shared" si="0"/>
        <v>30.978092223670327</v>
      </c>
      <c r="H12" s="92">
        <f>B12-D12</f>
        <v>49</v>
      </c>
      <c r="I12" s="92">
        <f t="shared" si="1"/>
        <v>2224.3</v>
      </c>
      <c r="J12" s="151"/>
      <c r="K12" s="152"/>
      <c r="L12" s="125"/>
    </row>
    <row r="13" spans="1:12" s="150" customFormat="1" ht="18.75" thickBot="1">
      <c r="A13" s="90" t="s">
        <v>27</v>
      </c>
      <c r="B13" s="113">
        <f>B6-B8-B9-B10-B11-B12</f>
        <v>219.90000000000805</v>
      </c>
      <c r="C13" s="113">
        <f>C6-C8-C9-C10-C11-C12</f>
        <v>660.4999999999986</v>
      </c>
      <c r="D13" s="113">
        <f>D6-D8-D9-D10-D11-D12</f>
        <v>5.600000000003092</v>
      </c>
      <c r="E13" s="94">
        <f>D13/D6*100</f>
        <v>0.00998505807381649</v>
      </c>
      <c r="F13" s="94">
        <f t="shared" si="3"/>
        <v>2.5466120964087713</v>
      </c>
      <c r="G13" s="94">
        <f t="shared" si="0"/>
        <v>0.8478425435281005</v>
      </c>
      <c r="H13" s="92">
        <f t="shared" si="2"/>
        <v>214.30000000000496</v>
      </c>
      <c r="I13" s="92">
        <f t="shared" si="1"/>
        <v>654.8999999999955</v>
      </c>
      <c r="J13" s="151"/>
      <c r="K13" s="152"/>
      <c r="L13" s="125"/>
    </row>
    <row r="14" spans="1:13" s="27" customFormat="1" ht="18.75" customHeight="1" hidden="1">
      <c r="A14" s="68" t="s">
        <v>58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71">
        <f>B14-D14</f>
        <v>0</v>
      </c>
      <c r="I14" s="71">
        <f>C14-D14</f>
        <v>0</v>
      </c>
      <c r="J14" s="146"/>
      <c r="K14" s="136"/>
      <c r="L14" s="136"/>
      <c r="M14" s="136"/>
    </row>
    <row r="15" spans="1:13" s="27" customFormat="1" ht="18.75" customHeight="1" hidden="1">
      <c r="A15" s="68" t="s">
        <v>55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71">
        <f>B15-D15</f>
        <v>0</v>
      </c>
      <c r="I15" s="71">
        <f>C15-D15</f>
        <v>0</v>
      </c>
      <c r="J15" s="146"/>
      <c r="K15" s="136"/>
      <c r="L15" s="136"/>
      <c r="M15" s="136"/>
    </row>
    <row r="16" spans="1:13" s="27" customFormat="1" ht="19.5" hidden="1" thickBot="1">
      <c r="A16" s="68" t="s">
        <v>56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71">
        <f>B16-D16</f>
        <v>0</v>
      </c>
      <c r="I16" s="71">
        <f>C16-D16</f>
        <v>0</v>
      </c>
      <c r="J16" s="146"/>
      <c r="K16" s="136"/>
      <c r="L16" s="136"/>
      <c r="M16" s="136"/>
    </row>
    <row r="17" spans="1:13" s="27" customFormat="1" ht="19.5" hidden="1" thickBot="1">
      <c r="A17" s="68" t="s">
        <v>57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71">
        <f>B17-D17</f>
        <v>0</v>
      </c>
      <c r="I17" s="71">
        <f>C17-D17</f>
        <v>0</v>
      </c>
      <c r="J17" s="146"/>
      <c r="K17" s="136"/>
      <c r="L17" s="136"/>
      <c r="M17" s="136"/>
    </row>
    <row r="18" spans="1:11" ht="18.75" thickBot="1">
      <c r="A18" s="16" t="s">
        <v>19</v>
      </c>
      <c r="B18" s="33">
        <f>33979.7-1938</f>
        <v>32041.699999999997</v>
      </c>
      <c r="C18" s="34">
        <f>101939.2-5813.6</f>
        <v>96125.59999999999</v>
      </c>
      <c r="D18" s="35">
        <f>9880.4+236.6+6978.3+6921</f>
        <v>24016.3</v>
      </c>
      <c r="E18" s="3">
        <f>D18/D154*100</f>
        <v>21.03005344137779</v>
      </c>
      <c r="F18" s="3">
        <f>D18/B18*100</f>
        <v>74.95326402781376</v>
      </c>
      <c r="G18" s="3">
        <f t="shared" si="0"/>
        <v>24.984291385437388</v>
      </c>
      <c r="H18" s="35">
        <f>B18-D18</f>
        <v>8025.399999999998</v>
      </c>
      <c r="I18" s="35">
        <f t="shared" si="1"/>
        <v>72109.29999999999</v>
      </c>
      <c r="J18" s="151"/>
      <c r="K18" s="152"/>
    </row>
    <row r="19" spans="1:13" s="83" customFormat="1" ht="18.75">
      <c r="A19" s="126" t="s">
        <v>79</v>
      </c>
      <c r="B19" s="127">
        <f>18976-1938</f>
        <v>17038</v>
      </c>
      <c r="C19" s="128">
        <f>56928-5813.6</f>
        <v>51114.4</v>
      </c>
      <c r="D19" s="129">
        <f>9880.4+236.6+6921</f>
        <v>17038</v>
      </c>
      <c r="E19" s="130">
        <f>D19/D18*100</f>
        <v>70.94348421696931</v>
      </c>
      <c r="F19" s="130">
        <f t="shared" si="3"/>
        <v>100</v>
      </c>
      <c r="G19" s="130">
        <f t="shared" si="0"/>
        <v>33.33307248055342</v>
      </c>
      <c r="H19" s="129">
        <f t="shared" si="2"/>
        <v>0</v>
      </c>
      <c r="I19" s="129">
        <f t="shared" si="1"/>
        <v>34076.4</v>
      </c>
      <c r="J19" s="146"/>
      <c r="K19" s="152"/>
      <c r="L19" s="150"/>
      <c r="M19" s="150"/>
    </row>
    <row r="20" spans="1:11" s="150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1"/>
      <c r="K20" s="152">
        <f>C20-B20</f>
        <v>0</v>
      </c>
    </row>
    <row r="21" spans="1:11" s="150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1"/>
      <c r="K21" s="152">
        <f>C21-B21</f>
        <v>0</v>
      </c>
    </row>
    <row r="22" spans="1:11" s="150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1"/>
      <c r="K22" s="152">
        <f>C22-B22</f>
        <v>0</v>
      </c>
    </row>
    <row r="23" spans="1:11" s="150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1"/>
      <c r="K23" s="152">
        <f>C23-B23</f>
        <v>0</v>
      </c>
    </row>
    <row r="24" spans="1:11" s="150" customFormat="1" ht="18">
      <c r="A24" s="90" t="s">
        <v>14</v>
      </c>
      <c r="B24" s="112">
        <v>83.3</v>
      </c>
      <c r="C24" s="113">
        <v>249.8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83.3</v>
      </c>
      <c r="I24" s="92">
        <f t="shared" si="1"/>
        <v>249.8</v>
      </c>
      <c r="J24" s="151"/>
      <c r="K24" s="152">
        <f>C24-B24</f>
        <v>166.5</v>
      </c>
    </row>
    <row r="25" spans="1:11" s="150" customFormat="1" ht="18.75" thickBot="1">
      <c r="A25" s="90" t="s">
        <v>27</v>
      </c>
      <c r="B25" s="113">
        <f>B18-B24</f>
        <v>31958.399999999998</v>
      </c>
      <c r="C25" s="113">
        <f>C18-C24</f>
        <v>95875.79999999999</v>
      </c>
      <c r="D25" s="113">
        <f>D18-D24</f>
        <v>24016.3</v>
      </c>
      <c r="E25" s="94">
        <f>D25/D18*100</f>
        <v>100</v>
      </c>
      <c r="F25" s="94">
        <f t="shared" si="3"/>
        <v>75.14863071993591</v>
      </c>
      <c r="G25" s="94">
        <f t="shared" si="0"/>
        <v>25.049386810853207</v>
      </c>
      <c r="H25" s="92">
        <f>B25-D25</f>
        <v>7942.0999999999985</v>
      </c>
      <c r="I25" s="92">
        <f t="shared" si="1"/>
        <v>71859.49999999999</v>
      </c>
      <c r="J25" s="151"/>
      <c r="K25" s="152"/>
    </row>
    <row r="26" spans="1:11" ht="57" hidden="1" thickBot="1">
      <c r="A26" s="68" t="s">
        <v>66</v>
      </c>
      <c r="B26" s="31"/>
      <c r="C26" s="31"/>
      <c r="D26" s="31"/>
      <c r="E26" s="1"/>
      <c r="F26" s="1" t="e">
        <f t="shared" si="3"/>
        <v>#DIV/0!</v>
      </c>
      <c r="G26" s="1" t="e">
        <f t="shared" si="0"/>
        <v>#DIV/0!</v>
      </c>
      <c r="H26" s="32">
        <f t="shared" si="2"/>
        <v>0</v>
      </c>
      <c r="I26" s="32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8" t="s">
        <v>67</v>
      </c>
      <c r="B27" s="31"/>
      <c r="C27" s="31"/>
      <c r="D27" s="31"/>
      <c r="E27" s="1"/>
      <c r="F27" s="1" t="e">
        <f t="shared" si="3"/>
        <v>#DIV/0!</v>
      </c>
      <c r="G27" s="1" t="e">
        <f t="shared" si="0"/>
        <v>#DIV/0!</v>
      </c>
      <c r="H27" s="32">
        <f t="shared" si="2"/>
        <v>0</v>
      </c>
      <c r="I27" s="32">
        <f t="shared" si="1"/>
        <v>0</v>
      </c>
      <c r="J27" s="151"/>
      <c r="K27" s="152">
        <f t="shared" si="4"/>
        <v>0</v>
      </c>
    </row>
    <row r="28" spans="1:11" ht="19.5" hidden="1" thickBot="1">
      <c r="A28" s="68" t="s">
        <v>68</v>
      </c>
      <c r="B28" s="31"/>
      <c r="C28" s="31"/>
      <c r="D28" s="31"/>
      <c r="E28" s="1"/>
      <c r="F28" s="1" t="e">
        <f t="shared" si="3"/>
        <v>#DIV/0!</v>
      </c>
      <c r="G28" s="1" t="e">
        <f t="shared" si="0"/>
        <v>#DIV/0!</v>
      </c>
      <c r="H28" s="32">
        <f t="shared" si="2"/>
        <v>0</v>
      </c>
      <c r="I28" s="32">
        <f t="shared" si="1"/>
        <v>0</v>
      </c>
      <c r="J28" s="151"/>
      <c r="K28" s="152">
        <f t="shared" si="4"/>
        <v>0</v>
      </c>
    </row>
    <row r="29" spans="1:11" ht="39.75" customHeight="1" hidden="1">
      <c r="A29" s="68" t="s">
        <v>69</v>
      </c>
      <c r="B29" s="31"/>
      <c r="C29" s="31"/>
      <c r="D29" s="31"/>
      <c r="E29" s="1"/>
      <c r="F29" s="1" t="e">
        <f t="shared" si="3"/>
        <v>#DIV/0!</v>
      </c>
      <c r="G29" s="1" t="e">
        <f t="shared" si="0"/>
        <v>#DIV/0!</v>
      </c>
      <c r="H29" s="32">
        <f t="shared" si="2"/>
        <v>0</v>
      </c>
      <c r="I29" s="32">
        <f t="shared" si="1"/>
        <v>0</v>
      </c>
      <c r="J29" s="151"/>
      <c r="K29" s="152">
        <f t="shared" si="4"/>
        <v>0</v>
      </c>
    </row>
    <row r="30" spans="1:11" ht="37.5" customHeight="1" hidden="1">
      <c r="A30" s="68" t="s">
        <v>70</v>
      </c>
      <c r="B30" s="31"/>
      <c r="C30" s="31"/>
      <c r="D30" s="31"/>
      <c r="E30" s="1"/>
      <c r="F30" s="1" t="e">
        <f>D30/B30*100</f>
        <v>#DIV/0!</v>
      </c>
      <c r="G30" s="1" t="e">
        <f t="shared" si="0"/>
        <v>#DIV/0!</v>
      </c>
      <c r="H30" s="32">
        <f t="shared" si="2"/>
        <v>0</v>
      </c>
      <c r="I30" s="32">
        <f t="shared" si="1"/>
        <v>0</v>
      </c>
      <c r="J30" s="151"/>
      <c r="K30" s="152">
        <f t="shared" si="4"/>
        <v>0</v>
      </c>
    </row>
    <row r="31" spans="1:11" ht="36" customHeight="1" hidden="1">
      <c r="A31" s="68" t="s">
        <v>71</v>
      </c>
      <c r="B31" s="31"/>
      <c r="C31" s="31"/>
      <c r="D31" s="31"/>
      <c r="E31" s="1"/>
      <c r="F31" s="1" t="e">
        <f t="shared" si="3"/>
        <v>#DIV/0!</v>
      </c>
      <c r="G31" s="1" t="e">
        <f t="shared" si="0"/>
        <v>#DIV/0!</v>
      </c>
      <c r="H31" s="32">
        <f t="shared" si="2"/>
        <v>0</v>
      </c>
      <c r="I31" s="32">
        <f t="shared" si="1"/>
        <v>0</v>
      </c>
      <c r="J31" s="151"/>
      <c r="K31" s="152">
        <f t="shared" si="4"/>
        <v>0</v>
      </c>
    </row>
    <row r="32" spans="1:11" ht="19.5" hidden="1" thickBot="1">
      <c r="A32" s="68" t="s">
        <v>72</v>
      </c>
      <c r="B32" s="31"/>
      <c r="C32" s="31"/>
      <c r="D32" s="31"/>
      <c r="E32" s="1"/>
      <c r="F32" s="1" t="e">
        <f t="shared" si="3"/>
        <v>#DIV/0!</v>
      </c>
      <c r="G32" s="1" t="e">
        <f t="shared" si="0"/>
        <v>#DIV/0!</v>
      </c>
      <c r="H32" s="32">
        <f t="shared" si="2"/>
        <v>0</v>
      </c>
      <c r="I32" s="32">
        <f t="shared" si="1"/>
        <v>0</v>
      </c>
      <c r="J32" s="151"/>
      <c r="K32" s="152">
        <f t="shared" si="4"/>
        <v>0</v>
      </c>
    </row>
    <row r="33" spans="1:11" ht="18.75" thickBot="1">
      <c r="A33" s="16" t="s">
        <v>17</v>
      </c>
      <c r="B33" s="33">
        <v>2072.5</v>
      </c>
      <c r="C33" s="34">
        <v>6217.4</v>
      </c>
      <c r="D33" s="37">
        <f>238.4+293+43.5+2+39.3+520.9+174.4</f>
        <v>1311.5</v>
      </c>
      <c r="E33" s="3">
        <f>D33/D154*100</f>
        <v>1.1484248234893375</v>
      </c>
      <c r="F33" s="3">
        <f>D33/B33*100</f>
        <v>63.2810615199035</v>
      </c>
      <c r="G33" s="3">
        <f t="shared" si="0"/>
        <v>21.094026441921063</v>
      </c>
      <c r="H33" s="35">
        <f t="shared" si="2"/>
        <v>761</v>
      </c>
      <c r="I33" s="35">
        <f t="shared" si="1"/>
        <v>4905.9</v>
      </c>
      <c r="J33" s="151"/>
      <c r="K33" s="152"/>
    </row>
    <row r="34" spans="1:11" s="150" customFormat="1" ht="18">
      <c r="A34" s="90" t="s">
        <v>3</v>
      </c>
      <c r="B34" s="112">
        <v>1059.1</v>
      </c>
      <c r="C34" s="113">
        <v>3354.7</v>
      </c>
      <c r="D34" s="92">
        <f>95.5+254.3+520.9+145.6</f>
        <v>1016.3000000000001</v>
      </c>
      <c r="E34" s="94">
        <f>D34/D33*100</f>
        <v>77.49142203583683</v>
      </c>
      <c r="F34" s="94">
        <f t="shared" si="3"/>
        <v>95.95883297139082</v>
      </c>
      <c r="G34" s="94">
        <f t="shared" si="0"/>
        <v>30.2948102661937</v>
      </c>
      <c r="H34" s="92">
        <f t="shared" si="2"/>
        <v>42.79999999999984</v>
      </c>
      <c r="I34" s="92">
        <f t="shared" si="1"/>
        <v>2338.3999999999996</v>
      </c>
      <c r="J34" s="151"/>
      <c r="K34" s="152"/>
    </row>
    <row r="35" spans="1:11" s="150" customFormat="1" ht="18">
      <c r="A35" s="90" t="s">
        <v>1</v>
      </c>
      <c r="B35" s="112">
        <f>10+2</f>
        <v>12</v>
      </c>
      <c r="C35" s="113">
        <v>30</v>
      </c>
      <c r="D35" s="92">
        <f>10+2</f>
        <v>12</v>
      </c>
      <c r="E35" s="94">
        <f>D35/D33*100</f>
        <v>0.9149828440716736</v>
      </c>
      <c r="F35" s="94">
        <f t="shared" si="3"/>
        <v>100</v>
      </c>
      <c r="G35" s="94">
        <f t="shared" si="0"/>
        <v>40</v>
      </c>
      <c r="H35" s="92">
        <f t="shared" si="2"/>
        <v>0</v>
      </c>
      <c r="I35" s="92">
        <f t="shared" si="1"/>
        <v>18</v>
      </c>
      <c r="J35" s="151"/>
      <c r="K35" s="152"/>
    </row>
    <row r="36" spans="1:11" s="150" customFormat="1" ht="18">
      <c r="A36" s="90" t="s">
        <v>0</v>
      </c>
      <c r="B36" s="112">
        <v>166</v>
      </c>
      <c r="C36" s="113">
        <v>484.4</v>
      </c>
      <c r="D36" s="92"/>
      <c r="E36" s="94">
        <f>D36/D33*100</f>
        <v>0</v>
      </c>
      <c r="F36" s="94">
        <f t="shared" si="3"/>
        <v>0</v>
      </c>
      <c r="G36" s="94">
        <f t="shared" si="0"/>
        <v>0</v>
      </c>
      <c r="H36" s="92">
        <f t="shared" si="2"/>
        <v>166</v>
      </c>
      <c r="I36" s="92">
        <f t="shared" si="1"/>
        <v>484.4</v>
      </c>
      <c r="J36" s="151"/>
      <c r="K36" s="152"/>
    </row>
    <row r="37" spans="1:12" s="83" customFormat="1" ht="18.75">
      <c r="A37" s="103" t="s">
        <v>7</v>
      </c>
      <c r="B37" s="123">
        <v>84</v>
      </c>
      <c r="C37" s="124">
        <v>252</v>
      </c>
      <c r="D37" s="96">
        <f>38.7+2+2.3</f>
        <v>43</v>
      </c>
      <c r="E37" s="99">
        <f>D37/D33*100</f>
        <v>3.278688524590164</v>
      </c>
      <c r="F37" s="99">
        <f t="shared" si="3"/>
        <v>51.19047619047619</v>
      </c>
      <c r="G37" s="99">
        <f t="shared" si="0"/>
        <v>17.063492063492063</v>
      </c>
      <c r="H37" s="96">
        <f t="shared" si="2"/>
        <v>41</v>
      </c>
      <c r="I37" s="96">
        <f t="shared" si="1"/>
        <v>209</v>
      </c>
      <c r="J37" s="146"/>
      <c r="K37" s="152"/>
      <c r="L37" s="125"/>
    </row>
    <row r="38" spans="1:11" s="150" customFormat="1" ht="18">
      <c r="A38" s="90" t="s">
        <v>14</v>
      </c>
      <c r="B38" s="112">
        <v>17</v>
      </c>
      <c r="C38" s="113">
        <v>51</v>
      </c>
      <c r="D38" s="113">
        <v>5.1</v>
      </c>
      <c r="E38" s="94">
        <f>D38/D33*100</f>
        <v>0.3888677087304613</v>
      </c>
      <c r="F38" s="94">
        <f t="shared" si="3"/>
        <v>30</v>
      </c>
      <c r="G38" s="94">
        <f t="shared" si="0"/>
        <v>10</v>
      </c>
      <c r="H38" s="92">
        <f t="shared" si="2"/>
        <v>11.9</v>
      </c>
      <c r="I38" s="92">
        <f t="shared" si="1"/>
        <v>45.9</v>
      </c>
      <c r="J38" s="151"/>
      <c r="K38" s="152"/>
    </row>
    <row r="39" spans="1:11" s="150" customFormat="1" ht="18.75" thickBot="1">
      <c r="A39" s="90" t="s">
        <v>27</v>
      </c>
      <c r="B39" s="112">
        <f>B33-B34-B36-B37-B35-B38</f>
        <v>734.4000000000001</v>
      </c>
      <c r="C39" s="112">
        <f>C33-C34-C36-C37-C35-C38</f>
        <v>2045.2999999999997</v>
      </c>
      <c r="D39" s="112">
        <f>D33-D34-D36-D37-D35-D38</f>
        <v>235.09999999999994</v>
      </c>
      <c r="E39" s="94">
        <f>D39/D33*100</f>
        <v>17.92603888677087</v>
      </c>
      <c r="F39" s="94">
        <f t="shared" si="3"/>
        <v>32.012527233115456</v>
      </c>
      <c r="G39" s="94">
        <f t="shared" si="0"/>
        <v>11.494646262162028</v>
      </c>
      <c r="H39" s="92">
        <f>B39-D39</f>
        <v>499.3000000000002</v>
      </c>
      <c r="I39" s="92">
        <f t="shared" si="1"/>
        <v>1810.1999999999998</v>
      </c>
      <c r="J39" s="151"/>
      <c r="K39" s="152"/>
    </row>
    <row r="40" spans="1:11" ht="19.5" hidden="1" thickBot="1">
      <c r="A40" s="68" t="s">
        <v>63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71">
        <f>B40-D40</f>
        <v>0</v>
      </c>
      <c r="I40" s="71">
        <f t="shared" si="1"/>
        <v>0</v>
      </c>
      <c r="J40" s="151"/>
      <c r="K40" s="152">
        <f>C40-B40</f>
        <v>0</v>
      </c>
    </row>
    <row r="41" spans="1:11" ht="19.5" hidden="1" thickBot="1">
      <c r="A41" s="68" t="s">
        <v>64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71">
        <f>B41-D41</f>
        <v>0</v>
      </c>
      <c r="I41" s="71">
        <f t="shared" si="1"/>
        <v>0</v>
      </c>
      <c r="J41" s="151"/>
      <c r="K41" s="152">
        <f>C41-B41</f>
        <v>0</v>
      </c>
    </row>
    <row r="42" spans="1:11" ht="19.5" hidden="1" thickBot="1">
      <c r="A42" s="68" t="s">
        <v>65</v>
      </c>
      <c r="B42" s="69"/>
      <c r="C42" s="69"/>
      <c r="D42" s="69"/>
      <c r="E42" s="67"/>
      <c r="F42" s="67"/>
      <c r="G42" s="67" t="e">
        <f t="shared" si="0"/>
        <v>#DIV/0!</v>
      </c>
      <c r="H42" s="71">
        <f>B42-D42</f>
        <v>0</v>
      </c>
      <c r="I42" s="71">
        <f t="shared" si="1"/>
        <v>0</v>
      </c>
      <c r="J42" s="151"/>
      <c r="K42" s="152">
        <f>C42-B42</f>
        <v>0</v>
      </c>
    </row>
    <row r="43" spans="1:11" ht="19.5" thickBot="1">
      <c r="A43" s="9" t="s">
        <v>16</v>
      </c>
      <c r="B43" s="70">
        <v>51.5</v>
      </c>
      <c r="C43" s="34">
        <v>154.6</v>
      </c>
      <c r="D43" s="35">
        <v>18</v>
      </c>
      <c r="E43" s="3">
        <f>D43/D154*100</f>
        <v>0.015761835167981755</v>
      </c>
      <c r="F43" s="3">
        <f>D43/B43*100</f>
        <v>34.95145631067961</v>
      </c>
      <c r="G43" s="3">
        <f t="shared" si="0"/>
        <v>11.64294954721863</v>
      </c>
      <c r="H43" s="35">
        <f t="shared" si="2"/>
        <v>33.5</v>
      </c>
      <c r="I43" s="35">
        <f t="shared" si="1"/>
        <v>136.6</v>
      </c>
      <c r="J43" s="151"/>
      <c r="K43" s="152"/>
    </row>
    <row r="44" spans="1:11" ht="12" customHeight="1" thickBot="1">
      <c r="A44" s="19"/>
      <c r="B44" s="41"/>
      <c r="C44" s="42"/>
      <c r="D44" s="43"/>
      <c r="E44" s="5"/>
      <c r="F44" s="5"/>
      <c r="G44" s="5"/>
      <c r="H44" s="43"/>
      <c r="I44" s="43"/>
      <c r="J44" s="151"/>
      <c r="K44" s="152"/>
    </row>
    <row r="45" spans="1:11" ht="18.75" thickBot="1">
      <c r="A45" s="16" t="s">
        <v>41</v>
      </c>
      <c r="B45" s="33">
        <v>1131.4</v>
      </c>
      <c r="C45" s="34">
        <v>3394.1</v>
      </c>
      <c r="D45" s="35">
        <f>346.4+682.6-0.1+14.1</f>
        <v>1043</v>
      </c>
      <c r="E45" s="3">
        <f>D45/D154*100</f>
        <v>0.9133107822336096</v>
      </c>
      <c r="F45" s="3">
        <f>D45/B45*100</f>
        <v>92.18667138059041</v>
      </c>
      <c r="G45" s="3">
        <f aca="true" t="shared" si="5" ref="G45:G76">D45/C45*100</f>
        <v>30.729795822161986</v>
      </c>
      <c r="H45" s="35">
        <f>B45-D45</f>
        <v>88.40000000000009</v>
      </c>
      <c r="I45" s="35">
        <f aca="true" t="shared" si="6" ref="I45:I77">C45-D45</f>
        <v>2351.1</v>
      </c>
      <c r="J45" s="151"/>
      <c r="K45" s="152"/>
    </row>
    <row r="46" spans="1:11" s="150" customFormat="1" ht="18">
      <c r="A46" s="90" t="s">
        <v>3</v>
      </c>
      <c r="B46" s="112">
        <v>985.4</v>
      </c>
      <c r="C46" s="113">
        <v>2956</v>
      </c>
      <c r="D46" s="92">
        <f>332.5+633.1+14.1</f>
        <v>979.7</v>
      </c>
      <c r="E46" s="94">
        <f>D46/D45*100</f>
        <v>93.93096836049857</v>
      </c>
      <c r="F46" s="94">
        <f aca="true" t="shared" si="7" ref="F46:F74">D46/B46*100</f>
        <v>99.42155469859955</v>
      </c>
      <c r="G46" s="94">
        <f t="shared" si="5"/>
        <v>33.14276048714479</v>
      </c>
      <c r="H46" s="92">
        <f aca="true" t="shared" si="8" ref="H46:H74">B46-D46</f>
        <v>5.699999999999932</v>
      </c>
      <c r="I46" s="92">
        <f t="shared" si="6"/>
        <v>1976.3</v>
      </c>
      <c r="J46" s="151"/>
      <c r="K46" s="152"/>
    </row>
    <row r="47" spans="1:11" s="150" customFormat="1" ht="18">
      <c r="A47" s="90" t="s">
        <v>2</v>
      </c>
      <c r="B47" s="112"/>
      <c r="C47" s="113"/>
      <c r="D47" s="92"/>
      <c r="E47" s="94">
        <f>D47/D45*100</f>
        <v>0</v>
      </c>
      <c r="F47" s="94" t="e">
        <f t="shared" si="7"/>
        <v>#DIV/0!</v>
      </c>
      <c r="G47" s="94" t="e">
        <f t="shared" si="5"/>
        <v>#DIV/0!</v>
      </c>
      <c r="H47" s="92">
        <f t="shared" si="8"/>
        <v>0</v>
      </c>
      <c r="I47" s="92">
        <f t="shared" si="6"/>
        <v>0</v>
      </c>
      <c r="J47" s="151"/>
      <c r="K47" s="152"/>
    </row>
    <row r="48" spans="1:11" s="150" customFormat="1" ht="18">
      <c r="A48" s="90" t="s">
        <v>1</v>
      </c>
      <c r="B48" s="112"/>
      <c r="C48" s="113"/>
      <c r="D48" s="92"/>
      <c r="E48" s="94">
        <f>D48/D45*100</f>
        <v>0</v>
      </c>
      <c r="F48" s="94" t="e">
        <f t="shared" si="7"/>
        <v>#DIV/0!</v>
      </c>
      <c r="G48" s="94" t="e">
        <f t="shared" si="5"/>
        <v>#DIV/0!</v>
      </c>
      <c r="H48" s="92">
        <f t="shared" si="8"/>
        <v>0</v>
      </c>
      <c r="I48" s="92">
        <f t="shared" si="6"/>
        <v>0</v>
      </c>
      <c r="J48" s="151"/>
      <c r="K48" s="152"/>
    </row>
    <row r="49" spans="1:11" s="150" customFormat="1" ht="18">
      <c r="A49" s="90" t="s">
        <v>0</v>
      </c>
      <c r="B49" s="112">
        <v>135</v>
      </c>
      <c r="C49" s="113">
        <v>372.5</v>
      </c>
      <c r="D49" s="92">
        <f>13.9+43.7</f>
        <v>57.6</v>
      </c>
      <c r="E49" s="94">
        <f>D49/D45*100</f>
        <v>5.5225311601150535</v>
      </c>
      <c r="F49" s="94">
        <f t="shared" si="7"/>
        <v>42.66666666666667</v>
      </c>
      <c r="G49" s="94">
        <f t="shared" si="5"/>
        <v>15.46308724832215</v>
      </c>
      <c r="H49" s="92">
        <f t="shared" si="8"/>
        <v>77.4</v>
      </c>
      <c r="I49" s="92">
        <f t="shared" si="6"/>
        <v>314.9</v>
      </c>
      <c r="J49" s="151"/>
      <c r="K49" s="152"/>
    </row>
    <row r="50" spans="1:11" s="150" customFormat="1" ht="18.75" thickBot="1">
      <c r="A50" s="90" t="s">
        <v>27</v>
      </c>
      <c r="B50" s="113">
        <f>B45-B46-B49-B48-B47</f>
        <v>11.000000000000114</v>
      </c>
      <c r="C50" s="113">
        <f>C45-C46-C49-C48-C47</f>
        <v>65.59999999999991</v>
      </c>
      <c r="D50" s="113">
        <f>D45-D46-D49-D48-D47</f>
        <v>5.699999999999953</v>
      </c>
      <c r="E50" s="94">
        <f>D50/D45*100</f>
        <v>0.5465004793863809</v>
      </c>
      <c r="F50" s="94">
        <f t="shared" si="7"/>
        <v>51.818181818180854</v>
      </c>
      <c r="G50" s="94">
        <f t="shared" si="5"/>
        <v>8.689024390243844</v>
      </c>
      <c r="H50" s="92">
        <f t="shared" si="8"/>
        <v>5.300000000000161</v>
      </c>
      <c r="I50" s="92">
        <f t="shared" si="6"/>
        <v>59.899999999999956</v>
      </c>
      <c r="J50" s="151"/>
      <c r="K50" s="152"/>
    </row>
    <row r="51" spans="1:11" ht="18.75" thickBot="1">
      <c r="A51" s="16" t="s">
        <v>4</v>
      </c>
      <c r="B51" s="33">
        <v>3166.2</v>
      </c>
      <c r="C51" s="34">
        <v>9498.7</v>
      </c>
      <c r="D51" s="35">
        <f>721.7+145.3+5+112.8+1132.7+7.6</f>
        <v>2125.1</v>
      </c>
      <c r="E51" s="3">
        <f>D51/D154*100</f>
        <v>1.8608597730821126</v>
      </c>
      <c r="F51" s="3">
        <f>D51/B51*100</f>
        <v>67.11831217232013</v>
      </c>
      <c r="G51" s="3">
        <f t="shared" si="5"/>
        <v>22.372535189025864</v>
      </c>
      <c r="H51" s="35">
        <f>B51-D51</f>
        <v>1041.1</v>
      </c>
      <c r="I51" s="35">
        <f t="shared" si="6"/>
        <v>7373.6</v>
      </c>
      <c r="J51" s="151"/>
      <c r="K51" s="152"/>
    </row>
    <row r="52" spans="1:11" s="150" customFormat="1" ht="18">
      <c r="A52" s="90" t="s">
        <v>3</v>
      </c>
      <c r="B52" s="112">
        <v>1796.3</v>
      </c>
      <c r="C52" s="113">
        <v>5388.9</v>
      </c>
      <c r="D52" s="92">
        <f>721.7+980.4</f>
        <v>1702.1</v>
      </c>
      <c r="E52" s="94">
        <f>D52/D51*100</f>
        <v>80.0950543503835</v>
      </c>
      <c r="F52" s="94">
        <f t="shared" si="7"/>
        <v>94.75588710126371</v>
      </c>
      <c r="G52" s="94">
        <f t="shared" si="5"/>
        <v>31.585295700421234</v>
      </c>
      <c r="H52" s="92">
        <f t="shared" si="8"/>
        <v>94.20000000000005</v>
      </c>
      <c r="I52" s="92">
        <f t="shared" si="6"/>
        <v>3686.7999999999997</v>
      </c>
      <c r="J52" s="151"/>
      <c r="K52" s="152"/>
    </row>
    <row r="53" spans="1:11" s="150" customFormat="1" ht="18">
      <c r="A53" s="90" t="s">
        <v>2</v>
      </c>
      <c r="B53" s="112"/>
      <c r="C53" s="113"/>
      <c r="D53" s="92"/>
      <c r="E53" s="94">
        <f>D53/D51*100</f>
        <v>0</v>
      </c>
      <c r="F53" s="94" t="e">
        <f>D53/B53*100</f>
        <v>#DIV/0!</v>
      </c>
      <c r="G53" s="94" t="e">
        <f t="shared" si="5"/>
        <v>#DIV/0!</v>
      </c>
      <c r="H53" s="92">
        <f t="shared" si="8"/>
        <v>0</v>
      </c>
      <c r="I53" s="92">
        <f t="shared" si="6"/>
        <v>0</v>
      </c>
      <c r="J53" s="151"/>
      <c r="K53" s="152"/>
    </row>
    <row r="54" spans="1:11" s="150" customFormat="1" ht="18">
      <c r="A54" s="90" t="s">
        <v>1</v>
      </c>
      <c r="B54" s="112">
        <v>86.4</v>
      </c>
      <c r="C54" s="113">
        <v>274.8</v>
      </c>
      <c r="D54" s="92">
        <f>3.2+7.6</f>
        <v>10.8</v>
      </c>
      <c r="E54" s="94">
        <f>D54/D51*100</f>
        <v>0.5082113782880806</v>
      </c>
      <c r="F54" s="94">
        <f t="shared" si="7"/>
        <v>12.5</v>
      </c>
      <c r="G54" s="94">
        <f t="shared" si="5"/>
        <v>3.9301310043668125</v>
      </c>
      <c r="H54" s="92">
        <f t="shared" si="8"/>
        <v>75.60000000000001</v>
      </c>
      <c r="I54" s="92">
        <f t="shared" si="6"/>
        <v>264</v>
      </c>
      <c r="J54" s="151"/>
      <c r="K54" s="152"/>
    </row>
    <row r="55" spans="1:11" s="150" customFormat="1" ht="18">
      <c r="A55" s="90" t="s">
        <v>0</v>
      </c>
      <c r="B55" s="112">
        <v>169.3</v>
      </c>
      <c r="C55" s="113">
        <v>507.8</v>
      </c>
      <c r="D55" s="92"/>
      <c r="E55" s="94">
        <f>D55/D51*100</f>
        <v>0</v>
      </c>
      <c r="F55" s="94">
        <f t="shared" si="7"/>
        <v>0</v>
      </c>
      <c r="G55" s="94">
        <f t="shared" si="5"/>
        <v>0</v>
      </c>
      <c r="H55" s="92">
        <f t="shared" si="8"/>
        <v>169.3</v>
      </c>
      <c r="I55" s="92">
        <f t="shared" si="6"/>
        <v>507.8</v>
      </c>
      <c r="J55" s="151"/>
      <c r="K55" s="152"/>
    </row>
    <row r="56" spans="1:11" s="150" customFormat="1" ht="18">
      <c r="A56" s="90" t="s">
        <v>14</v>
      </c>
      <c r="B56" s="112">
        <v>290</v>
      </c>
      <c r="C56" s="113">
        <v>870</v>
      </c>
      <c r="D56" s="113"/>
      <c r="E56" s="94">
        <f>D56/D51*100</f>
        <v>0</v>
      </c>
      <c r="F56" s="94">
        <f>D56/B56*100</f>
        <v>0</v>
      </c>
      <c r="G56" s="94">
        <f>D56/C56*100</f>
        <v>0</v>
      </c>
      <c r="H56" s="92">
        <f t="shared" si="8"/>
        <v>290</v>
      </c>
      <c r="I56" s="92">
        <f t="shared" si="6"/>
        <v>870</v>
      </c>
      <c r="J56" s="151"/>
      <c r="K56" s="152"/>
    </row>
    <row r="57" spans="1:11" s="150" customFormat="1" ht="18.75" thickBot="1">
      <c r="A57" s="90" t="s">
        <v>27</v>
      </c>
      <c r="B57" s="113">
        <f>B51-B52-B55-B54-B53-B56</f>
        <v>824.1999999999998</v>
      </c>
      <c r="C57" s="113">
        <f>C51-C52-C55-C54-C53-C56</f>
        <v>2457.2000000000007</v>
      </c>
      <c r="D57" s="113">
        <f>D51-D52-D55-D54-D53-D56</f>
        <v>412.2</v>
      </c>
      <c r="E57" s="94">
        <f>D57/D51*100</f>
        <v>19.39673427132841</v>
      </c>
      <c r="F57" s="94">
        <f t="shared" si="7"/>
        <v>50.012132977432664</v>
      </c>
      <c r="G57" s="94">
        <f t="shared" si="5"/>
        <v>16.775191274621516</v>
      </c>
      <c r="H57" s="92">
        <f>B57-D57</f>
        <v>411.99999999999983</v>
      </c>
      <c r="I57" s="92">
        <f>C57-D57</f>
        <v>2045.0000000000007</v>
      </c>
      <c r="J57" s="151"/>
      <c r="K57" s="152"/>
    </row>
    <row r="58" spans="1:11" s="27" customFormat="1" ht="19.5" hidden="1" thickBot="1">
      <c r="A58" s="68" t="s">
        <v>62</v>
      </c>
      <c r="B58" s="66"/>
      <c r="C58" s="66"/>
      <c r="D58" s="66"/>
      <c r="E58" s="1"/>
      <c r="F58" s="67" t="e">
        <f t="shared" si="7"/>
        <v>#DIV/0!</v>
      </c>
      <c r="G58" s="67" t="e">
        <f t="shared" si="5"/>
        <v>#DIV/0!</v>
      </c>
      <c r="H58" s="71">
        <f t="shared" si="8"/>
        <v>0</v>
      </c>
      <c r="I58" s="71">
        <f>C58-D58</f>
        <v>0</v>
      </c>
      <c r="J58" s="146"/>
      <c r="K58" s="152">
        <f>C58-B58</f>
        <v>0</v>
      </c>
    </row>
    <row r="59" spans="1:11" ht="18.75" thickBot="1">
      <c r="A59" s="16" t="s">
        <v>6</v>
      </c>
      <c r="B59" s="33">
        <v>746.8</v>
      </c>
      <c r="C59" s="34">
        <v>2261.1</v>
      </c>
      <c r="D59" s="35">
        <f>80.6+106+88.7</f>
        <v>275.3</v>
      </c>
      <c r="E59" s="3">
        <f>D59/D154*100</f>
        <v>0.24106851231918766</v>
      </c>
      <c r="F59" s="3">
        <f>D59/B59*100</f>
        <v>36.863952865559725</v>
      </c>
      <c r="G59" s="3">
        <f t="shared" si="5"/>
        <v>12.175489805846713</v>
      </c>
      <c r="H59" s="35">
        <f>B59-D59</f>
        <v>471.49999999999994</v>
      </c>
      <c r="I59" s="35">
        <f t="shared" si="6"/>
        <v>1985.8</v>
      </c>
      <c r="J59" s="151"/>
      <c r="K59" s="152"/>
    </row>
    <row r="60" spans="1:11" s="150" customFormat="1" ht="18">
      <c r="A60" s="90" t="s">
        <v>3</v>
      </c>
      <c r="B60" s="112">
        <v>310.2</v>
      </c>
      <c r="C60" s="113">
        <v>936.2</v>
      </c>
      <c r="D60" s="92">
        <f>80.6+106+88.7</f>
        <v>275.3</v>
      </c>
      <c r="E60" s="94">
        <f>D60/D59*100</f>
        <v>100</v>
      </c>
      <c r="F60" s="94">
        <f t="shared" si="7"/>
        <v>88.749194068343</v>
      </c>
      <c r="G60" s="94">
        <f t="shared" si="5"/>
        <v>29.406109805597097</v>
      </c>
      <c r="H60" s="92">
        <f t="shared" si="8"/>
        <v>34.89999999999998</v>
      </c>
      <c r="I60" s="92">
        <f t="shared" si="6"/>
        <v>660.9000000000001</v>
      </c>
      <c r="J60" s="151"/>
      <c r="K60" s="152"/>
    </row>
    <row r="61" spans="1:11" s="150" customFormat="1" ht="18">
      <c r="A61" s="90" t="s">
        <v>1</v>
      </c>
      <c r="B61" s="112"/>
      <c r="C61" s="113"/>
      <c r="D61" s="92"/>
      <c r="E61" s="94">
        <f>D61/D59*100</f>
        <v>0</v>
      </c>
      <c r="F61" s="94" t="e">
        <f>D61/B61*100</f>
        <v>#DIV/0!</v>
      </c>
      <c r="G61" s="94" t="e">
        <f t="shared" si="5"/>
        <v>#DIV/0!</v>
      </c>
      <c r="H61" s="92">
        <f t="shared" si="8"/>
        <v>0</v>
      </c>
      <c r="I61" s="92">
        <f t="shared" si="6"/>
        <v>0</v>
      </c>
      <c r="J61" s="151"/>
      <c r="K61" s="152"/>
    </row>
    <row r="62" spans="1:11" s="150" customFormat="1" ht="18">
      <c r="A62" s="90" t="s">
        <v>0</v>
      </c>
      <c r="B62" s="112">
        <v>114.1</v>
      </c>
      <c r="C62" s="113">
        <v>351.7</v>
      </c>
      <c r="D62" s="92"/>
      <c r="E62" s="94">
        <f>D62/D59*100</f>
        <v>0</v>
      </c>
      <c r="F62" s="94">
        <f t="shared" si="7"/>
        <v>0</v>
      </c>
      <c r="G62" s="94">
        <f t="shared" si="5"/>
        <v>0</v>
      </c>
      <c r="H62" s="92">
        <f t="shared" si="8"/>
        <v>114.1</v>
      </c>
      <c r="I62" s="92">
        <f t="shared" si="6"/>
        <v>351.7</v>
      </c>
      <c r="J62" s="151"/>
      <c r="K62" s="152"/>
    </row>
    <row r="63" spans="1:11" s="150" customFormat="1" ht="18">
      <c r="A63" s="90" t="s">
        <v>14</v>
      </c>
      <c r="B63" s="112"/>
      <c r="C63" s="113"/>
      <c r="D63" s="92"/>
      <c r="E63" s="94">
        <f>D63/D59*100</f>
        <v>0</v>
      </c>
      <c r="F63" s="94" t="e">
        <f t="shared" si="7"/>
        <v>#DIV/0!</v>
      </c>
      <c r="G63" s="94" t="e">
        <f t="shared" si="5"/>
        <v>#DIV/0!</v>
      </c>
      <c r="H63" s="92">
        <f t="shared" si="8"/>
        <v>0</v>
      </c>
      <c r="I63" s="92">
        <f t="shared" si="6"/>
        <v>0</v>
      </c>
      <c r="J63" s="151"/>
      <c r="K63" s="152"/>
    </row>
    <row r="64" spans="1:11" s="150" customFormat="1" ht="18.75" thickBot="1">
      <c r="A64" s="90" t="s">
        <v>27</v>
      </c>
      <c r="B64" s="113">
        <f>B59-B60-B62-B63-B61</f>
        <v>322.5</v>
      </c>
      <c r="C64" s="113">
        <f>C59-C60-C62-C63-C61</f>
        <v>973.1999999999998</v>
      </c>
      <c r="D64" s="113">
        <f>D59-D60-D62-D63-D61</f>
        <v>0</v>
      </c>
      <c r="E64" s="94">
        <f>D64/D59*100</f>
        <v>0</v>
      </c>
      <c r="F64" s="94">
        <f t="shared" si="7"/>
        <v>0</v>
      </c>
      <c r="G64" s="94">
        <f t="shared" si="5"/>
        <v>0</v>
      </c>
      <c r="H64" s="92">
        <f t="shared" si="8"/>
        <v>322.5</v>
      </c>
      <c r="I64" s="92">
        <f t="shared" si="6"/>
        <v>973.1999999999998</v>
      </c>
      <c r="J64" s="151"/>
      <c r="K64" s="152"/>
    </row>
    <row r="65" spans="1:11" s="27" customFormat="1" ht="19.5" hidden="1" thickBot="1">
      <c r="A65" s="68" t="s">
        <v>73</v>
      </c>
      <c r="B65" s="66"/>
      <c r="C65" s="66"/>
      <c r="D65" s="66"/>
      <c r="E65" s="67"/>
      <c r="F65" s="67" t="e">
        <f>D65/B65*100</f>
        <v>#DIV/0!</v>
      </c>
      <c r="G65" s="67" t="e">
        <f>D65/C65*100</f>
        <v>#DIV/0!</v>
      </c>
      <c r="H65" s="71">
        <f t="shared" si="8"/>
        <v>0</v>
      </c>
      <c r="I65" s="71">
        <f t="shared" si="6"/>
        <v>0</v>
      </c>
      <c r="J65" s="146"/>
      <c r="K65" s="152">
        <f>C65-B65</f>
        <v>0</v>
      </c>
    </row>
    <row r="66" spans="1:11" s="27" customFormat="1" ht="19.5" hidden="1" thickBot="1">
      <c r="A66" s="68" t="s">
        <v>59</v>
      </c>
      <c r="B66" s="66"/>
      <c r="C66" s="66"/>
      <c r="D66" s="66"/>
      <c r="E66" s="67"/>
      <c r="F66" s="67" t="e">
        <f t="shared" si="7"/>
        <v>#DIV/0!</v>
      </c>
      <c r="G66" s="67" t="e">
        <f t="shared" si="5"/>
        <v>#DIV/0!</v>
      </c>
      <c r="H66" s="71">
        <f t="shared" si="8"/>
        <v>0</v>
      </c>
      <c r="I66" s="71">
        <f t="shared" si="6"/>
        <v>0</v>
      </c>
      <c r="J66" s="146"/>
      <c r="K66" s="152">
        <f>C66-B66</f>
        <v>0</v>
      </c>
    </row>
    <row r="67" spans="1:11" s="27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146"/>
      <c r="K67" s="152">
        <f>C67-B67</f>
        <v>0</v>
      </c>
    </row>
    <row r="68" spans="1:11" s="27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146"/>
      <c r="K68" s="152">
        <f>C68-B68</f>
        <v>0</v>
      </c>
    </row>
    <row r="69" spans="1:11" ht="18.75" thickBot="1">
      <c r="A69" s="16" t="s">
        <v>20</v>
      </c>
      <c r="B69" s="34">
        <f>B70+B71</f>
        <v>30.700000000000003</v>
      </c>
      <c r="C69" s="34">
        <f>C70+C71</f>
        <v>92.1</v>
      </c>
      <c r="D69" s="35">
        <f>D70+D71</f>
        <v>0</v>
      </c>
      <c r="E69" s="25">
        <f>D69/D154*100</f>
        <v>0</v>
      </c>
      <c r="F69" s="3">
        <f>D69/B69*100</f>
        <v>0</v>
      </c>
      <c r="G69" s="3">
        <f t="shared" si="5"/>
        <v>0</v>
      </c>
      <c r="H69" s="35">
        <f>B69-D69</f>
        <v>30.700000000000003</v>
      </c>
      <c r="I69" s="35">
        <f t="shared" si="6"/>
        <v>92.1</v>
      </c>
      <c r="J69" s="151"/>
      <c r="K69" s="152"/>
    </row>
    <row r="70" spans="1:11" s="150" customFormat="1" ht="18">
      <c r="A70" s="90" t="s">
        <v>8</v>
      </c>
      <c r="B70" s="112">
        <v>18.3</v>
      </c>
      <c r="C70" s="113">
        <v>54.8</v>
      </c>
      <c r="D70" s="92"/>
      <c r="E70" s="94" t="e">
        <f>D70/D69*100</f>
        <v>#DIV/0!</v>
      </c>
      <c r="F70" s="94">
        <f t="shared" si="7"/>
        <v>0</v>
      </c>
      <c r="G70" s="94">
        <f t="shared" si="5"/>
        <v>0</v>
      </c>
      <c r="H70" s="92">
        <f t="shared" si="8"/>
        <v>18.3</v>
      </c>
      <c r="I70" s="92">
        <f t="shared" si="6"/>
        <v>54.8</v>
      </c>
      <c r="J70" s="151"/>
      <c r="K70" s="152"/>
    </row>
    <row r="71" spans="1:11" s="150" customFormat="1" ht="18.75" thickBot="1">
      <c r="A71" s="90" t="s">
        <v>9</v>
      </c>
      <c r="B71" s="112">
        <v>12.4</v>
      </c>
      <c r="C71" s="113">
        <v>37.3</v>
      </c>
      <c r="D71" s="92"/>
      <c r="E71" s="94" t="e">
        <f>D71/D70*100</f>
        <v>#DIV/0!</v>
      </c>
      <c r="F71" s="94">
        <f t="shared" si="7"/>
        <v>0</v>
      </c>
      <c r="G71" s="94">
        <f t="shared" si="5"/>
        <v>0</v>
      </c>
      <c r="H71" s="92">
        <f t="shared" si="8"/>
        <v>12.4</v>
      </c>
      <c r="I71" s="92">
        <f t="shared" si="6"/>
        <v>37.3</v>
      </c>
      <c r="J71" s="151"/>
      <c r="K71" s="152"/>
    </row>
    <row r="72" spans="1:11" ht="38.25" hidden="1" thickBot="1">
      <c r="A72" s="9" t="s">
        <v>38</v>
      </c>
      <c r="B72" s="40"/>
      <c r="C72" s="34">
        <f>C73+C74+C75+C76</f>
        <v>0</v>
      </c>
      <c r="D72" s="34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5">
        <f>B72-D72</f>
        <v>0</v>
      </c>
      <c r="I72" s="35">
        <f t="shared" si="6"/>
        <v>0</v>
      </c>
      <c r="J72" s="151"/>
      <c r="K72" s="152"/>
    </row>
    <row r="73" spans="1:11" ht="18.75" hidden="1">
      <c r="A73" s="13" t="s">
        <v>42</v>
      </c>
      <c r="B73" s="38"/>
      <c r="C73" s="44"/>
      <c r="D73" s="36"/>
      <c r="E73" s="22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2">
        <f t="shared" si="8"/>
        <v>0</v>
      </c>
      <c r="I73" s="32">
        <f t="shared" si="6"/>
        <v>0</v>
      </c>
      <c r="J73" s="151"/>
      <c r="K73" s="152"/>
    </row>
    <row r="74" spans="1:11" ht="18.75" hidden="1">
      <c r="A74" s="13" t="s">
        <v>43</v>
      </c>
      <c r="B74" s="38"/>
      <c r="C74" s="44"/>
      <c r="D74" s="36"/>
      <c r="E74" s="22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2">
        <f t="shared" si="8"/>
        <v>0</v>
      </c>
      <c r="I74" s="32">
        <f t="shared" si="6"/>
        <v>0</v>
      </c>
      <c r="J74" s="151"/>
      <c r="K74" s="152"/>
    </row>
    <row r="75" spans="1:11" ht="18.75" hidden="1">
      <c r="A75" s="18" t="s">
        <v>31</v>
      </c>
      <c r="B75" s="45"/>
      <c r="C75" s="46"/>
      <c r="D75" s="47"/>
      <c r="E75" s="22" t="e">
        <f>D75/D72*100</f>
        <v>#DIV/0!</v>
      </c>
      <c r="F75" s="22"/>
      <c r="G75" s="1" t="e">
        <f t="shared" si="5"/>
        <v>#DIV/0!</v>
      </c>
      <c r="H75" s="32"/>
      <c r="I75" s="32">
        <f t="shared" si="6"/>
        <v>0</v>
      </c>
      <c r="J75" s="151"/>
      <c r="K75" s="152"/>
    </row>
    <row r="76" spans="1:11" ht="19.5" hidden="1" thickBot="1">
      <c r="A76" s="18" t="s">
        <v>39</v>
      </c>
      <c r="B76" s="45"/>
      <c r="C76" s="46"/>
      <c r="D76" s="47"/>
      <c r="E76" s="22" t="e">
        <f>D76/D72*100</f>
        <v>#DIV/0!</v>
      </c>
      <c r="F76" s="22"/>
      <c r="G76" s="1" t="e">
        <f t="shared" si="5"/>
        <v>#DIV/0!</v>
      </c>
      <c r="H76" s="32"/>
      <c r="I76" s="32">
        <f t="shared" si="6"/>
        <v>0</v>
      </c>
      <c r="J76" s="151"/>
      <c r="K76" s="152"/>
    </row>
    <row r="77" spans="1:11" s="27" customFormat="1" ht="19.5" thickBot="1">
      <c r="A77" s="19" t="s">
        <v>13</v>
      </c>
      <c r="B77" s="41">
        <f>208.3-0.4</f>
        <v>207.9</v>
      </c>
      <c r="C77" s="48">
        <v>625</v>
      </c>
      <c r="D77" s="49"/>
      <c r="E77" s="29"/>
      <c r="F77" s="29"/>
      <c r="G77" s="29"/>
      <c r="H77" s="49">
        <f>B77-D77</f>
        <v>207.9</v>
      </c>
      <c r="I77" s="49">
        <f t="shared" si="6"/>
        <v>625</v>
      </c>
      <c r="J77" s="146"/>
      <c r="K77" s="152"/>
    </row>
    <row r="78" spans="1:11" ht="8.25" customHeight="1" thickBot="1">
      <c r="A78" s="13"/>
      <c r="B78" s="38"/>
      <c r="C78" s="46"/>
      <c r="D78" s="47"/>
      <c r="E78" s="4"/>
      <c r="F78" s="4"/>
      <c r="G78" s="4"/>
      <c r="H78" s="47"/>
      <c r="I78" s="153"/>
      <c r="J78" s="151"/>
      <c r="K78" s="152"/>
    </row>
    <row r="79" spans="1:11" ht="18.75" customHeight="1" hidden="1" thickBot="1">
      <c r="A79" s="9" t="s">
        <v>53</v>
      </c>
      <c r="B79" s="40"/>
      <c r="C79" s="34"/>
      <c r="D79" s="34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5">
        <f>B79-D79</f>
        <v>0</v>
      </c>
      <c r="I79" s="35">
        <f aca="true" t="shared" si="10" ref="I79:I93">C79-D79</f>
        <v>0</v>
      </c>
      <c r="J79" s="151"/>
      <c r="K79" s="152"/>
    </row>
    <row r="80" spans="1:11" s="6" customFormat="1" ht="18" hidden="1">
      <c r="A80" s="7" t="s">
        <v>52</v>
      </c>
      <c r="B80" s="50"/>
      <c r="C80" s="31"/>
      <c r="D80" s="32"/>
      <c r="E80" s="65"/>
      <c r="F80" s="1" t="e">
        <f>D80/B80*100</f>
        <v>#DIV/0!</v>
      </c>
      <c r="G80" s="1" t="e">
        <f t="shared" si="9"/>
        <v>#DIV/0!</v>
      </c>
      <c r="H80" s="32">
        <f>B80-D80</f>
        <v>0</v>
      </c>
      <c r="I80" s="32">
        <f t="shared" si="10"/>
        <v>0</v>
      </c>
      <c r="J80" s="147"/>
      <c r="K80" s="152"/>
    </row>
    <row r="81" spans="1:11" s="6" customFormat="1" ht="30.75" hidden="1">
      <c r="A81" s="7" t="s">
        <v>50</v>
      </c>
      <c r="B81" s="50"/>
      <c r="C81" s="31"/>
      <c r="D81" s="32"/>
      <c r="E81" s="65"/>
      <c r="F81" s="1" t="e">
        <f>D81/B81*100</f>
        <v>#DIV/0!</v>
      </c>
      <c r="G81" s="1" t="e">
        <f t="shared" si="9"/>
        <v>#DIV/0!</v>
      </c>
      <c r="H81" s="32">
        <f>B81-D81</f>
        <v>0</v>
      </c>
      <c r="I81" s="32">
        <f t="shared" si="10"/>
        <v>0</v>
      </c>
      <c r="J81" s="147"/>
      <c r="K81" s="152"/>
    </row>
    <row r="82" spans="1:11" s="6" customFormat="1" ht="16.5" customHeight="1" hidden="1">
      <c r="A82" s="7" t="s">
        <v>30</v>
      </c>
      <c r="B82" s="50"/>
      <c r="C82" s="31"/>
      <c r="D82" s="32"/>
      <c r="E82" s="1" t="e">
        <f>D82/D79*100</f>
        <v>#DIV/0!</v>
      </c>
      <c r="F82" s="1"/>
      <c r="G82" s="1" t="e">
        <f t="shared" si="9"/>
        <v>#DIV/0!</v>
      </c>
      <c r="H82" s="32"/>
      <c r="I82" s="32">
        <f t="shared" si="10"/>
        <v>0</v>
      </c>
      <c r="J82" s="147"/>
      <c r="K82" s="152"/>
    </row>
    <row r="83" spans="1:11" s="6" customFormat="1" ht="33" customHeight="1" hidden="1" thickBot="1">
      <c r="A83" s="7" t="s">
        <v>36</v>
      </c>
      <c r="B83" s="50"/>
      <c r="C83" s="31"/>
      <c r="D83" s="31"/>
      <c r="E83" s="1" t="e">
        <f>D83/D79*100</f>
        <v>#DIV/0!</v>
      </c>
      <c r="F83" s="1"/>
      <c r="G83" s="1" t="e">
        <f t="shared" si="9"/>
        <v>#DIV/0!</v>
      </c>
      <c r="H83" s="32"/>
      <c r="I83" s="32">
        <f t="shared" si="10"/>
        <v>0</v>
      </c>
      <c r="J83" s="147"/>
      <c r="K83" s="152"/>
    </row>
    <row r="84" spans="1:11" ht="35.25" customHeight="1" hidden="1" thickBot="1">
      <c r="A84" s="9" t="s">
        <v>32</v>
      </c>
      <c r="B84" s="40"/>
      <c r="C84" s="34"/>
      <c r="D84" s="34"/>
      <c r="E84" s="3">
        <f>D84/D154*100</f>
        <v>0</v>
      </c>
      <c r="F84" s="3"/>
      <c r="G84" s="3" t="e">
        <f t="shared" si="9"/>
        <v>#DIV/0!</v>
      </c>
      <c r="H84" s="35"/>
      <c r="I84" s="35">
        <f t="shared" si="10"/>
        <v>0</v>
      </c>
      <c r="J84" s="151"/>
      <c r="K84" s="152"/>
    </row>
    <row r="85" spans="1:11" ht="16.5" customHeight="1" hidden="1">
      <c r="A85" s="17" t="s">
        <v>23</v>
      </c>
      <c r="B85" s="30"/>
      <c r="C85" s="46"/>
      <c r="D85" s="46"/>
      <c r="E85" s="4" t="e">
        <f>D85/D84*100</f>
        <v>#DIV/0!</v>
      </c>
      <c r="F85" s="4"/>
      <c r="G85" s="4" t="e">
        <f t="shared" si="9"/>
        <v>#DIV/0!</v>
      </c>
      <c r="H85" s="47"/>
      <c r="I85" s="32">
        <f t="shared" si="10"/>
        <v>0</v>
      </c>
      <c r="J85" s="151"/>
      <c r="K85" s="152"/>
    </row>
    <row r="86" spans="1:11" ht="16.5" customHeight="1" hidden="1" thickBot="1">
      <c r="A86" s="17" t="s">
        <v>24</v>
      </c>
      <c r="B86" s="30"/>
      <c r="C86" s="46"/>
      <c r="D86" s="46"/>
      <c r="E86" s="4" t="e">
        <f>D86/D84*100</f>
        <v>#DIV/0!</v>
      </c>
      <c r="F86" s="4"/>
      <c r="G86" s="4" t="e">
        <f t="shared" si="9"/>
        <v>#DIV/0!</v>
      </c>
      <c r="H86" s="47"/>
      <c r="I86" s="32">
        <f t="shared" si="10"/>
        <v>0</v>
      </c>
      <c r="J86" s="151"/>
      <c r="K86" s="152"/>
    </row>
    <row r="87" spans="1:11" ht="34.5" customHeight="1" hidden="1" thickBot="1">
      <c r="A87" s="9" t="s">
        <v>33</v>
      </c>
      <c r="B87" s="40"/>
      <c r="C87" s="34"/>
      <c r="D87" s="34"/>
      <c r="E87" s="3">
        <f>D87/D154*100</f>
        <v>0</v>
      </c>
      <c r="F87" s="3"/>
      <c r="G87" s="3" t="e">
        <f t="shared" si="9"/>
        <v>#DIV/0!</v>
      </c>
      <c r="H87" s="35"/>
      <c r="I87" s="35">
        <f t="shared" si="10"/>
        <v>0</v>
      </c>
      <c r="J87" s="151"/>
      <c r="K87" s="152"/>
    </row>
    <row r="88" spans="1:11" ht="17.25" customHeight="1" hidden="1">
      <c r="A88" s="17" t="s">
        <v>23</v>
      </c>
      <c r="B88" s="30"/>
      <c r="C88" s="31"/>
      <c r="D88" s="32"/>
      <c r="E88" s="1" t="e">
        <f>D88/D87*100</f>
        <v>#DIV/0!</v>
      </c>
      <c r="F88" s="1"/>
      <c r="G88" s="1" t="e">
        <f t="shared" si="9"/>
        <v>#DIV/0!</v>
      </c>
      <c r="H88" s="32"/>
      <c r="I88" s="32">
        <f t="shared" si="10"/>
        <v>0</v>
      </c>
      <c r="J88" s="151"/>
      <c r="K88" s="152"/>
    </row>
    <row r="89" spans="1:11" ht="17.25" customHeight="1" hidden="1" thickBot="1">
      <c r="A89" s="17" t="s">
        <v>24</v>
      </c>
      <c r="B89" s="30"/>
      <c r="C89" s="31"/>
      <c r="D89" s="32"/>
      <c r="E89" s="1" t="e">
        <f>D89/D87*100</f>
        <v>#DIV/0!</v>
      </c>
      <c r="F89" s="1"/>
      <c r="G89" s="1" t="e">
        <f t="shared" si="9"/>
        <v>#DIV/0!</v>
      </c>
      <c r="H89" s="32"/>
      <c r="I89" s="32">
        <f t="shared" si="10"/>
        <v>0</v>
      </c>
      <c r="J89" s="151"/>
      <c r="K89" s="152"/>
    </row>
    <row r="90" spans="1:11" ht="19.5" thickBot="1">
      <c r="A90" s="9" t="s">
        <v>10</v>
      </c>
      <c r="B90" s="40">
        <v>17247.5</v>
      </c>
      <c r="C90" s="34">
        <v>51742.5</v>
      </c>
      <c r="D90" s="35">
        <f>244+43.9+2457.4+2707.4+10.4+33.4+0.3+26.7+297+18.1+13+3+6.2+490.1+6379.1-0.1+2560.6</f>
        <v>15290.5</v>
      </c>
      <c r="E90" s="3">
        <f>D90/D154*100</f>
        <v>13.389241146445837</v>
      </c>
      <c r="F90" s="3">
        <f aca="true" t="shared" si="11" ref="F90:F96">D90/B90*100</f>
        <v>88.65342803304827</v>
      </c>
      <c r="G90" s="3">
        <f t="shared" si="9"/>
        <v>29.55114267768276</v>
      </c>
      <c r="H90" s="35">
        <f aca="true" t="shared" si="12" ref="H90:H96">B90-D90</f>
        <v>1957</v>
      </c>
      <c r="I90" s="35">
        <f t="shared" si="10"/>
        <v>36452</v>
      </c>
      <c r="J90" s="151"/>
      <c r="K90" s="152"/>
    </row>
    <row r="91" spans="1:11" s="150" customFormat="1" ht="21.75" customHeight="1">
      <c r="A91" s="90" t="s">
        <v>3</v>
      </c>
      <c r="B91" s="112">
        <v>16238</v>
      </c>
      <c r="C91" s="113">
        <v>48629.1</v>
      </c>
      <c r="D91" s="149">
        <f>244+2447.7+2707.4+7.9+32.8+292+16+4.4+487.2+6367.9-0.1+2554.5</f>
        <v>15161.699999999999</v>
      </c>
      <c r="E91" s="94">
        <f>D91/D90*100</f>
        <v>99.15764690494096</v>
      </c>
      <c r="F91" s="94">
        <f t="shared" si="11"/>
        <v>93.3717206552531</v>
      </c>
      <c r="G91" s="94">
        <f t="shared" si="9"/>
        <v>31.17824512483266</v>
      </c>
      <c r="H91" s="92">
        <f t="shared" si="12"/>
        <v>1076.300000000001</v>
      </c>
      <c r="I91" s="92">
        <f t="shared" si="10"/>
        <v>33467.4</v>
      </c>
      <c r="K91" s="152"/>
    </row>
    <row r="92" spans="1:11" s="150" customFormat="1" ht="18">
      <c r="A92" s="90" t="s">
        <v>25</v>
      </c>
      <c r="B92" s="112">
        <f>401.6+10.6</f>
        <v>412.20000000000005</v>
      </c>
      <c r="C92" s="113">
        <v>1178</v>
      </c>
      <c r="D92" s="92"/>
      <c r="E92" s="94">
        <f>D92/D90*100</f>
        <v>0</v>
      </c>
      <c r="F92" s="94">
        <f t="shared" si="11"/>
        <v>0</v>
      </c>
      <c r="G92" s="94">
        <f t="shared" si="9"/>
        <v>0</v>
      </c>
      <c r="H92" s="92">
        <f t="shared" si="12"/>
        <v>412.20000000000005</v>
      </c>
      <c r="I92" s="92">
        <f t="shared" si="10"/>
        <v>1178</v>
      </c>
      <c r="K92" s="152"/>
    </row>
    <row r="93" spans="1:11" s="150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0" t="s">
        <v>27</v>
      </c>
      <c r="B94" s="113">
        <f>B90-B91-B92-B93</f>
        <v>597.3</v>
      </c>
      <c r="C94" s="113">
        <f>C90-C91-C92-C93</f>
        <v>1935.4000000000015</v>
      </c>
      <c r="D94" s="113">
        <f>D90-D91-D92-D93</f>
        <v>128.8000000000011</v>
      </c>
      <c r="E94" s="94">
        <f>D94/D90*100</f>
        <v>0.8423530950590307</v>
      </c>
      <c r="F94" s="94">
        <f t="shared" si="11"/>
        <v>21.56370333165932</v>
      </c>
      <c r="G94" s="94">
        <f>D94/C94*100</f>
        <v>6.654955048052133</v>
      </c>
      <c r="H94" s="92">
        <f t="shared" si="12"/>
        <v>468.49999999999886</v>
      </c>
      <c r="I94" s="92">
        <f>C94-D94</f>
        <v>1806.6000000000004</v>
      </c>
      <c r="K94" s="152"/>
    </row>
    <row r="95" spans="1:11" ht="18.75">
      <c r="A95" s="74" t="s">
        <v>12</v>
      </c>
      <c r="B95" s="82">
        <f>5598.5-194.4</f>
        <v>5404.1</v>
      </c>
      <c r="C95" s="77">
        <v>16795.4</v>
      </c>
      <c r="D95" s="76">
        <f>550.6+16+384.3+525.5+369.8</f>
        <v>1846.2</v>
      </c>
      <c r="E95" s="73">
        <f>D95/D154*100</f>
        <v>1.6166388937293288</v>
      </c>
      <c r="F95" s="75">
        <f t="shared" si="11"/>
        <v>34.16295035251013</v>
      </c>
      <c r="G95" s="72">
        <f>D95/C95*100</f>
        <v>10.99229550948474</v>
      </c>
      <c r="H95" s="76">
        <f t="shared" si="12"/>
        <v>3557.9000000000005</v>
      </c>
      <c r="I95" s="78">
        <f>C95-D95</f>
        <v>14949.2</v>
      </c>
      <c r="J95" s="151"/>
      <c r="K95" s="152"/>
    </row>
    <row r="96" spans="1:11" s="150" customFormat="1" ht="18.75" thickBot="1">
      <c r="A96" s="115" t="s">
        <v>80</v>
      </c>
      <c r="B96" s="116">
        <v>1290</v>
      </c>
      <c r="C96" s="117">
        <v>3870</v>
      </c>
      <c r="D96" s="118">
        <v>101</v>
      </c>
      <c r="E96" s="119">
        <f>D96/D95*100</f>
        <v>5.470696565919185</v>
      </c>
      <c r="F96" s="120">
        <f t="shared" si="11"/>
        <v>7.829457364341086</v>
      </c>
      <c r="G96" s="121">
        <f>D96/C96*100</f>
        <v>2.6098191214470283</v>
      </c>
      <c r="H96" s="122">
        <f t="shared" si="12"/>
        <v>1189</v>
      </c>
      <c r="I96" s="111">
        <f>C96-D96</f>
        <v>3769</v>
      </c>
      <c r="J96" s="151"/>
      <c r="K96" s="152"/>
    </row>
    <row r="97" spans="1:11" ht="8.25" customHeight="1" thickBot="1">
      <c r="A97" s="13"/>
      <c r="B97" s="38"/>
      <c r="C97" s="46"/>
      <c r="D97" s="47"/>
      <c r="E97" s="4"/>
      <c r="F97" s="4"/>
      <c r="G97" s="4"/>
      <c r="H97" s="47"/>
      <c r="I97" s="47"/>
      <c r="J97" s="151"/>
      <c r="K97" s="152"/>
    </row>
    <row r="98" spans="1:11" ht="19.5" hidden="1" thickBot="1">
      <c r="A98" s="21" t="s">
        <v>34</v>
      </c>
      <c r="B98" s="54"/>
      <c r="C98" s="55"/>
      <c r="D98" s="56"/>
      <c r="E98" s="3">
        <f>D98/D154*100</f>
        <v>0</v>
      </c>
      <c r="F98" s="3"/>
      <c r="G98" s="3" t="e">
        <f>D98/C98*100</f>
        <v>#DIV/0!</v>
      </c>
      <c r="H98" s="35"/>
      <c r="I98" s="35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0"/>
      <c r="B99" s="51"/>
      <c r="C99" s="52"/>
      <c r="D99" s="53"/>
      <c r="E99" s="10"/>
      <c r="F99" s="4"/>
      <c r="G99" s="4"/>
      <c r="H99" s="47"/>
      <c r="I99" s="153"/>
      <c r="J99" s="151"/>
      <c r="K99" s="152">
        <f t="shared" si="13"/>
        <v>0</v>
      </c>
    </row>
    <row r="100" spans="1:11" s="11" customFormat="1" ht="36" customHeight="1" hidden="1" thickBot="1">
      <c r="A100" s="9" t="s">
        <v>48</v>
      </c>
      <c r="B100" s="40"/>
      <c r="C100" s="34"/>
      <c r="D100" s="35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5">
        <f>B100-D100</f>
        <v>0</v>
      </c>
      <c r="I100" s="35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2"/>
      <c r="D101" s="53"/>
      <c r="E101" s="10"/>
      <c r="F101" s="4"/>
      <c r="G101" s="4"/>
      <c r="H101" s="47"/>
      <c r="I101" s="153"/>
      <c r="J101" s="151"/>
      <c r="K101" s="152">
        <f t="shared" si="13"/>
        <v>0</v>
      </c>
    </row>
    <row r="102" spans="1:11" s="27" customFormat="1" ht="19.5" thickBot="1">
      <c r="A102" s="9" t="s">
        <v>11</v>
      </c>
      <c r="B102" s="81">
        <v>4773.3</v>
      </c>
      <c r="C102" s="64">
        <v>14299.2</v>
      </c>
      <c r="D102" s="60">
        <f>152.2+12.4+164.7+14+1585.4+13.1</f>
        <v>1941.8</v>
      </c>
      <c r="E102" s="14">
        <f>D102/D154*100</f>
        <v>1.7003517516214988</v>
      </c>
      <c r="F102" s="14">
        <f>D102/B102*100</f>
        <v>40.680451679131835</v>
      </c>
      <c r="G102" s="14">
        <f aca="true" t="shared" si="14" ref="G102:G152">D102/C102*100</f>
        <v>13.579780687031443</v>
      </c>
      <c r="H102" s="60">
        <f aca="true" t="shared" si="15" ref="H102:H108">B102-D102</f>
        <v>2831.5</v>
      </c>
      <c r="I102" s="60">
        <f aca="true" t="shared" si="16" ref="I102:I152">C102-D102</f>
        <v>12357.400000000001</v>
      </c>
      <c r="J102" s="146"/>
      <c r="K102" s="152"/>
    </row>
    <row r="103" spans="1:11" s="150" customFormat="1" ht="18.75" customHeight="1">
      <c r="A103" s="90" t="s">
        <v>3</v>
      </c>
      <c r="B103" s="104"/>
      <c r="C103" s="105"/>
      <c r="D103" s="105"/>
      <c r="E103" s="106">
        <f>D103/D102*100</f>
        <v>0</v>
      </c>
      <c r="F103" s="94" t="e">
        <f>D103/B103*100</f>
        <v>#DIV/0!</v>
      </c>
      <c r="G103" s="106" t="e">
        <f>D103/C103*100</f>
        <v>#DIV/0!</v>
      </c>
      <c r="H103" s="105">
        <f t="shared" si="15"/>
        <v>0</v>
      </c>
      <c r="I103" s="105">
        <f t="shared" si="16"/>
        <v>0</v>
      </c>
      <c r="J103" s="151"/>
      <c r="K103" s="152"/>
    </row>
    <row r="104" spans="1:11" s="150" customFormat="1" ht="18">
      <c r="A104" s="107" t="s">
        <v>45</v>
      </c>
      <c r="B104" s="91">
        <v>4666.7</v>
      </c>
      <c r="C104" s="92">
        <v>13985.3</v>
      </c>
      <c r="D104" s="92">
        <f>152.1+12.4+164.7+14+1585.4+8</f>
        <v>1936.6000000000001</v>
      </c>
      <c r="E104" s="94">
        <f>D104/D102*100</f>
        <v>99.7322072304048</v>
      </c>
      <c r="F104" s="94">
        <f aca="true" t="shared" si="17" ref="F104:F152">D104/B104*100</f>
        <v>41.49827501232134</v>
      </c>
      <c r="G104" s="94">
        <f t="shared" si="14"/>
        <v>13.847396909612236</v>
      </c>
      <c r="H104" s="92">
        <f t="shared" si="15"/>
        <v>2730.0999999999995</v>
      </c>
      <c r="I104" s="92">
        <f t="shared" si="16"/>
        <v>12048.699999999999</v>
      </c>
      <c r="J104" s="151"/>
      <c r="K104" s="152"/>
    </row>
    <row r="105" spans="1:11" s="150" customFormat="1" ht="54.75" hidden="1" thickBot="1">
      <c r="A105" s="108" t="s">
        <v>76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5"/>
        <v>0</v>
      </c>
      <c r="I105" s="111">
        <f>C105-D105</f>
        <v>0</v>
      </c>
      <c r="J105" s="151"/>
      <c r="K105" s="152"/>
    </row>
    <row r="106" spans="1:11" s="150" customFormat="1" ht="18.75" thickBot="1">
      <c r="A106" s="108" t="s">
        <v>27</v>
      </c>
      <c r="B106" s="109">
        <f>B102-B103-B104</f>
        <v>106.60000000000036</v>
      </c>
      <c r="C106" s="109">
        <f>C102-C103-C104</f>
        <v>313.90000000000146</v>
      </c>
      <c r="D106" s="109">
        <f>D102-D103-D104</f>
        <v>5.199999999999818</v>
      </c>
      <c r="E106" s="110">
        <f>D106/D102*100</f>
        <v>0.26779276959521153</v>
      </c>
      <c r="F106" s="110">
        <f t="shared" si="17"/>
        <v>4.878048780487617</v>
      </c>
      <c r="G106" s="110">
        <f t="shared" si="14"/>
        <v>1.6565785281936265</v>
      </c>
      <c r="H106" s="111">
        <f t="shared" si="15"/>
        <v>101.40000000000055</v>
      </c>
      <c r="I106" s="111">
        <f t="shared" si="16"/>
        <v>308.70000000000164</v>
      </c>
      <c r="J106" s="151"/>
      <c r="K106" s="152"/>
    </row>
    <row r="107" spans="1:12" s="2" customFormat="1" ht="26.25" customHeight="1" thickBot="1">
      <c r="A107" s="61" t="s">
        <v>28</v>
      </c>
      <c r="B107" s="62">
        <f>SUM(B108:B151)-B115-B120+B152-B142-B143-B109-B112-B123-B124-B140-B133-B131-B138-B118</f>
        <v>25926</v>
      </c>
      <c r="C107" s="62">
        <f>SUM(C108:C151)-C115-C120+C152-C142-C143-C109-C112-C123-C124-C140-C133-C131-C138-C118</f>
        <v>58380.9</v>
      </c>
      <c r="D107" s="62">
        <f>SUM(D108:D151)-D115-D120+D152-D142-D143-D109-D112-D123-D124-D140-D133-D131-D138-D118</f>
        <v>10248.399999999998</v>
      </c>
      <c r="E107" s="63">
        <f>D107/D154*100</f>
        <v>8.974088418641344</v>
      </c>
      <c r="F107" s="63">
        <f>D107/B107*100</f>
        <v>39.52942991591451</v>
      </c>
      <c r="G107" s="63">
        <f t="shared" si="14"/>
        <v>17.554371378310368</v>
      </c>
      <c r="H107" s="62">
        <f t="shared" si="15"/>
        <v>15677.600000000002</v>
      </c>
      <c r="I107" s="62">
        <f t="shared" si="16"/>
        <v>48132.5</v>
      </c>
      <c r="J107" s="143"/>
      <c r="K107" s="152"/>
      <c r="L107" s="84"/>
    </row>
    <row r="108" spans="1:12" s="150" customFormat="1" ht="37.5">
      <c r="A108" s="85" t="s">
        <v>49</v>
      </c>
      <c r="B108" s="140">
        <v>371.6</v>
      </c>
      <c r="C108" s="137">
        <v>1114.7</v>
      </c>
      <c r="D108" s="86">
        <v>1.8</v>
      </c>
      <c r="E108" s="87">
        <f>D108/D107*100</f>
        <v>0.01756371726318255</v>
      </c>
      <c r="F108" s="87">
        <f t="shared" si="17"/>
        <v>0.48439181916038754</v>
      </c>
      <c r="G108" s="87">
        <f t="shared" si="14"/>
        <v>0.16147842468825693</v>
      </c>
      <c r="H108" s="88">
        <f t="shared" si="15"/>
        <v>369.8</v>
      </c>
      <c r="I108" s="88">
        <f t="shared" si="16"/>
        <v>1112.9</v>
      </c>
      <c r="K108" s="152"/>
      <c r="L108" s="89"/>
    </row>
    <row r="109" spans="1:12" s="150" customFormat="1" ht="18.75">
      <c r="A109" s="90" t="s">
        <v>25</v>
      </c>
      <c r="B109" s="91">
        <v>233.5</v>
      </c>
      <c r="C109" s="92">
        <v>700.5</v>
      </c>
      <c r="D109" s="93"/>
      <c r="E109" s="94">
        <f>D109/D108*100</f>
        <v>0</v>
      </c>
      <c r="F109" s="94">
        <f t="shared" si="17"/>
        <v>0</v>
      </c>
      <c r="G109" s="94">
        <f t="shared" si="14"/>
        <v>0</v>
      </c>
      <c r="H109" s="92">
        <f aca="true" t="shared" si="18" ref="H109:H152">B109-D109</f>
        <v>233.5</v>
      </c>
      <c r="I109" s="92">
        <f t="shared" si="16"/>
        <v>700.5</v>
      </c>
      <c r="K109" s="152"/>
      <c r="L109" s="89"/>
    </row>
    <row r="110" spans="1:12" s="150" customFormat="1" ht="34.5" customHeight="1" hidden="1">
      <c r="A110" s="95" t="s">
        <v>75</v>
      </c>
      <c r="B110" s="139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4"/>
        <v>#DIV/0!</v>
      </c>
      <c r="H110" s="88">
        <f t="shared" si="18"/>
        <v>0</v>
      </c>
      <c r="I110" s="88">
        <f t="shared" si="16"/>
        <v>0</v>
      </c>
      <c r="K110" s="152"/>
      <c r="L110" s="89"/>
    </row>
    <row r="111" spans="1:12" s="83" customFormat="1" ht="34.5" customHeight="1" hidden="1">
      <c r="A111" s="95" t="s">
        <v>90</v>
      </c>
      <c r="B111" s="141"/>
      <c r="C111" s="96"/>
      <c r="D111" s="97"/>
      <c r="E111" s="87">
        <f>D111/D107*100</f>
        <v>0</v>
      </c>
      <c r="F111" s="87" t="e">
        <f t="shared" si="17"/>
        <v>#DIV/0!</v>
      </c>
      <c r="G111" s="87" t="e">
        <f t="shared" si="14"/>
        <v>#DIV/0!</v>
      </c>
      <c r="H111" s="88">
        <f t="shared" si="18"/>
        <v>0</v>
      </c>
      <c r="I111" s="88">
        <f t="shared" si="16"/>
        <v>0</v>
      </c>
      <c r="K111" s="152"/>
      <c r="L111" s="89"/>
    </row>
    <row r="112" spans="1:12" s="150" customFormat="1" ht="18.75" customHeight="1" hidden="1">
      <c r="A112" s="90" t="s">
        <v>25</v>
      </c>
      <c r="B112" s="138"/>
      <c r="C112" s="92"/>
      <c r="D112" s="93"/>
      <c r="E112" s="94"/>
      <c r="F112" s="94" t="e">
        <f t="shared" si="17"/>
        <v>#DIV/0!</v>
      </c>
      <c r="G112" s="94" t="e">
        <f t="shared" si="14"/>
        <v>#DIV/0!</v>
      </c>
      <c r="H112" s="92">
        <f t="shared" si="18"/>
        <v>0</v>
      </c>
      <c r="I112" s="92">
        <f t="shared" si="16"/>
        <v>0</v>
      </c>
      <c r="K112" s="152"/>
      <c r="L112" s="89"/>
    </row>
    <row r="113" spans="1:12" s="150" customFormat="1" ht="18.75" customHeight="1" hidden="1">
      <c r="A113" s="95" t="s">
        <v>86</v>
      </c>
      <c r="B113" s="141"/>
      <c r="C113" s="88"/>
      <c r="D113" s="86"/>
      <c r="E113" s="87">
        <f>D113/D107*100</f>
        <v>0</v>
      </c>
      <c r="F113" s="87" t="e">
        <f t="shared" si="17"/>
        <v>#DIV/0!</v>
      </c>
      <c r="G113" s="87" t="e">
        <f t="shared" si="14"/>
        <v>#DIV/0!</v>
      </c>
      <c r="H113" s="88">
        <f t="shared" si="18"/>
        <v>0</v>
      </c>
      <c r="I113" s="88">
        <f t="shared" si="16"/>
        <v>0</v>
      </c>
      <c r="K113" s="152"/>
      <c r="L113" s="89"/>
    </row>
    <row r="114" spans="1:12" s="150" customFormat="1" ht="37.5">
      <c r="A114" s="95" t="s">
        <v>35</v>
      </c>
      <c r="B114" s="141">
        <v>271.8</v>
      </c>
      <c r="C114" s="88">
        <v>815.5</v>
      </c>
      <c r="D114" s="86">
        <v>187.7</v>
      </c>
      <c r="E114" s="87">
        <f>D114/D107*100</f>
        <v>1.831505405721869</v>
      </c>
      <c r="F114" s="87">
        <f t="shared" si="17"/>
        <v>69.05813097866077</v>
      </c>
      <c r="G114" s="87">
        <f t="shared" si="14"/>
        <v>23.016554261189455</v>
      </c>
      <c r="H114" s="88">
        <f t="shared" si="18"/>
        <v>84.10000000000002</v>
      </c>
      <c r="I114" s="88">
        <f t="shared" si="16"/>
        <v>627.8</v>
      </c>
      <c r="K114" s="152"/>
      <c r="L114" s="89"/>
    </row>
    <row r="115" spans="1:12" s="150" customFormat="1" ht="18.75" hidden="1">
      <c r="A115" s="98" t="s">
        <v>40</v>
      </c>
      <c r="B115" s="138"/>
      <c r="C115" s="92"/>
      <c r="D115" s="93"/>
      <c r="E115" s="87"/>
      <c r="F115" s="87" t="e">
        <f t="shared" si="17"/>
        <v>#DIV/0!</v>
      </c>
      <c r="G115" s="94" t="e">
        <f t="shared" si="14"/>
        <v>#DIV/0!</v>
      </c>
      <c r="H115" s="92">
        <f t="shared" si="18"/>
        <v>0</v>
      </c>
      <c r="I115" s="92">
        <f t="shared" si="16"/>
        <v>0</v>
      </c>
      <c r="K115" s="152"/>
      <c r="L115" s="89"/>
    </row>
    <row r="116" spans="1:12" s="83" customFormat="1" ht="18.75" customHeight="1" hidden="1">
      <c r="A116" s="95" t="s">
        <v>87</v>
      </c>
      <c r="B116" s="139"/>
      <c r="C116" s="96"/>
      <c r="D116" s="97"/>
      <c r="E116" s="99">
        <f>D116/D107*100</f>
        <v>0</v>
      </c>
      <c r="F116" s="87" t="e">
        <f t="shared" si="17"/>
        <v>#DIV/0!</v>
      </c>
      <c r="G116" s="99" t="e">
        <f t="shared" si="14"/>
        <v>#DIV/0!</v>
      </c>
      <c r="H116" s="96">
        <f t="shared" si="18"/>
        <v>0</v>
      </c>
      <c r="I116" s="96">
        <f t="shared" si="16"/>
        <v>0</v>
      </c>
      <c r="K116" s="152"/>
      <c r="L116" s="89"/>
    </row>
    <row r="117" spans="1:12" s="150" customFormat="1" ht="37.5" hidden="1">
      <c r="A117" s="95" t="s">
        <v>44</v>
      </c>
      <c r="B117" s="141"/>
      <c r="C117" s="88"/>
      <c r="D117" s="86"/>
      <c r="E117" s="87">
        <f>D117/D107*100</f>
        <v>0</v>
      </c>
      <c r="F117" s="87" t="e">
        <f>D117/B117*100</f>
        <v>#DIV/0!</v>
      </c>
      <c r="G117" s="87" t="e">
        <f t="shared" si="14"/>
        <v>#DIV/0!</v>
      </c>
      <c r="H117" s="88">
        <f t="shared" si="18"/>
        <v>0</v>
      </c>
      <c r="I117" s="88">
        <f t="shared" si="16"/>
        <v>0</v>
      </c>
      <c r="K117" s="152"/>
      <c r="L117" s="89"/>
    </row>
    <row r="118" spans="1:12" s="150" customFormat="1" ht="18.75" hidden="1">
      <c r="A118" s="98" t="s">
        <v>85</v>
      </c>
      <c r="B118" s="148"/>
      <c r="C118" s="149"/>
      <c r="D118" s="93"/>
      <c r="E118" s="94" t="e">
        <f>D118/D117*100</f>
        <v>#DIV/0!</v>
      </c>
      <c r="F118" s="94" t="e">
        <f>D118/B118*100</f>
        <v>#DIV/0!</v>
      </c>
      <c r="G118" s="94" t="e">
        <f>D118/C118*100</f>
        <v>#DIV/0!</v>
      </c>
      <c r="H118" s="92">
        <f>B118-D118</f>
        <v>0</v>
      </c>
      <c r="I118" s="92">
        <f>C118-D118</f>
        <v>0</v>
      </c>
      <c r="K118" s="152"/>
      <c r="L118" s="89"/>
    </row>
    <row r="119" spans="1:12" s="100" customFormat="1" ht="18.75">
      <c r="A119" s="95" t="s">
        <v>15</v>
      </c>
      <c r="B119" s="141">
        <v>40.9</v>
      </c>
      <c r="C119" s="96">
        <v>122.9</v>
      </c>
      <c r="D119" s="86"/>
      <c r="E119" s="87">
        <f>D119/D107*100</f>
        <v>0</v>
      </c>
      <c r="F119" s="87">
        <f t="shared" si="17"/>
        <v>0</v>
      </c>
      <c r="G119" s="87">
        <f t="shared" si="14"/>
        <v>0</v>
      </c>
      <c r="H119" s="88">
        <f t="shared" si="18"/>
        <v>40.9</v>
      </c>
      <c r="I119" s="88">
        <f t="shared" si="16"/>
        <v>122.9</v>
      </c>
      <c r="K119" s="152"/>
      <c r="L119" s="89"/>
    </row>
    <row r="120" spans="1:12" s="101" customFormat="1" ht="18.75">
      <c r="A120" s="98" t="s">
        <v>40</v>
      </c>
      <c r="B120" s="91">
        <v>40.7</v>
      </c>
      <c r="C120" s="92">
        <v>122.1</v>
      </c>
      <c r="D120" s="93"/>
      <c r="E120" s="94" t="e">
        <f>D120/D119*100</f>
        <v>#DIV/0!</v>
      </c>
      <c r="F120" s="94">
        <f t="shared" si="17"/>
        <v>0</v>
      </c>
      <c r="G120" s="94">
        <f t="shared" si="14"/>
        <v>0</v>
      </c>
      <c r="H120" s="92">
        <f t="shared" si="18"/>
        <v>40.7</v>
      </c>
      <c r="I120" s="92">
        <f t="shared" si="16"/>
        <v>122.1</v>
      </c>
      <c r="K120" s="152"/>
      <c r="L120" s="89"/>
    </row>
    <row r="121" spans="1:12" s="100" customFormat="1" ht="18.75">
      <c r="A121" s="95" t="s">
        <v>102</v>
      </c>
      <c r="B121" s="141">
        <v>17.2</v>
      </c>
      <c r="C121" s="96">
        <v>51.5</v>
      </c>
      <c r="D121" s="86"/>
      <c r="E121" s="87">
        <f>D121/D107*100</f>
        <v>0</v>
      </c>
      <c r="F121" s="87">
        <f t="shared" si="17"/>
        <v>0</v>
      </c>
      <c r="G121" s="87">
        <f t="shared" si="14"/>
        <v>0</v>
      </c>
      <c r="H121" s="88">
        <f t="shared" si="18"/>
        <v>17.2</v>
      </c>
      <c r="I121" s="88">
        <f t="shared" si="16"/>
        <v>51.5</v>
      </c>
      <c r="K121" s="152"/>
      <c r="L121" s="89"/>
    </row>
    <row r="122" spans="1:13" s="100" customFormat="1" ht="21.75" customHeight="1" hidden="1">
      <c r="A122" s="95" t="s">
        <v>91</v>
      </c>
      <c r="B122" s="141"/>
      <c r="C122" s="96"/>
      <c r="D122" s="97"/>
      <c r="E122" s="99">
        <f>D122/D107*100</f>
        <v>0</v>
      </c>
      <c r="F122" s="87" t="e">
        <f t="shared" si="17"/>
        <v>#DIV/0!</v>
      </c>
      <c r="G122" s="87" t="e">
        <f t="shared" si="14"/>
        <v>#DIV/0!</v>
      </c>
      <c r="H122" s="88">
        <f t="shared" si="18"/>
        <v>0</v>
      </c>
      <c r="I122" s="88">
        <f t="shared" si="16"/>
        <v>0</v>
      </c>
      <c r="J122" s="143"/>
      <c r="K122" s="152">
        <f>H108+H111+H113+H114+H117+H119+H121+H126+H127+H128+H130+H132+H136+H137+H139+H69</f>
        <v>904.1</v>
      </c>
      <c r="L122" s="152">
        <f>I108+I111+I113+I114+I117+I119+I121+I126+I127+I128+I130+I132+I136+I137+I139+I69</f>
        <v>3106.6000000000004</v>
      </c>
      <c r="M122" s="152">
        <f>J108+J111+J113+J114+J117+J119+J121+J126+J127+J128+J130+J132+J136+J137+J139+J69</f>
        <v>0</v>
      </c>
    </row>
    <row r="123" spans="1:12" s="102" customFormat="1" ht="18.75" hidden="1">
      <c r="A123" s="90" t="s">
        <v>77</v>
      </c>
      <c r="B123" s="138"/>
      <c r="C123" s="92"/>
      <c r="D123" s="93"/>
      <c r="E123" s="87"/>
      <c r="F123" s="94" t="e">
        <f>D123/B123*100</f>
        <v>#DIV/0!</v>
      </c>
      <c r="G123" s="94" t="e">
        <f t="shared" si="14"/>
        <v>#DIV/0!</v>
      </c>
      <c r="H123" s="92">
        <f t="shared" si="18"/>
        <v>0</v>
      </c>
      <c r="I123" s="92">
        <f t="shared" si="16"/>
        <v>0</v>
      </c>
      <c r="K123" s="152"/>
      <c r="L123" s="89"/>
    </row>
    <row r="124" spans="1:12" s="102" customFormat="1" ht="18.75" hidden="1">
      <c r="A124" s="90" t="s">
        <v>46</v>
      </c>
      <c r="B124" s="138"/>
      <c r="C124" s="92"/>
      <c r="D124" s="93"/>
      <c r="E124" s="87"/>
      <c r="F124" s="94" t="e">
        <f>D124/B124*100</f>
        <v>#DIV/0!</v>
      </c>
      <c r="G124" s="94" t="e">
        <f t="shared" si="14"/>
        <v>#DIV/0!</v>
      </c>
      <c r="H124" s="92">
        <f t="shared" si="18"/>
        <v>0</v>
      </c>
      <c r="I124" s="92">
        <f t="shared" si="16"/>
        <v>0</v>
      </c>
      <c r="K124" s="152"/>
      <c r="L124" s="89"/>
    </row>
    <row r="125" spans="1:12" s="100" customFormat="1" ht="37.5">
      <c r="A125" s="95" t="s">
        <v>92</v>
      </c>
      <c r="B125" s="141">
        <f>1087.6+194.4</f>
        <v>1282</v>
      </c>
      <c r="C125" s="96">
        <v>3262.8</v>
      </c>
      <c r="D125" s="97">
        <f>871.9+408.1</f>
        <v>1280</v>
      </c>
      <c r="E125" s="99">
        <f>D125/D107*100</f>
        <v>12.489754498263146</v>
      </c>
      <c r="F125" s="87">
        <f t="shared" si="17"/>
        <v>99.84399375975039</v>
      </c>
      <c r="G125" s="87">
        <f t="shared" si="14"/>
        <v>39.230109108740955</v>
      </c>
      <c r="H125" s="88">
        <f t="shared" si="18"/>
        <v>2</v>
      </c>
      <c r="I125" s="88">
        <f t="shared" si="16"/>
        <v>1982.8000000000002</v>
      </c>
      <c r="K125" s="152"/>
      <c r="L125" s="89"/>
    </row>
    <row r="126" spans="1:12" s="100" customFormat="1" ht="18.75" hidden="1">
      <c r="A126" s="95" t="s">
        <v>88</v>
      </c>
      <c r="B126" s="141"/>
      <c r="C126" s="96"/>
      <c r="D126" s="97"/>
      <c r="E126" s="99">
        <f>D126/D107*100</f>
        <v>0</v>
      </c>
      <c r="F126" s="87" t="e">
        <f t="shared" si="17"/>
        <v>#DIV/0!</v>
      </c>
      <c r="G126" s="87" t="e">
        <f t="shared" si="14"/>
        <v>#DIV/0!</v>
      </c>
      <c r="H126" s="88">
        <f t="shared" si="18"/>
        <v>0</v>
      </c>
      <c r="I126" s="88">
        <f t="shared" si="16"/>
        <v>0</v>
      </c>
      <c r="K126" s="152"/>
      <c r="L126" s="89"/>
    </row>
    <row r="127" spans="1:17" s="100" customFormat="1" ht="37.5">
      <c r="A127" s="95" t="s">
        <v>97</v>
      </c>
      <c r="B127" s="141">
        <v>37.5</v>
      </c>
      <c r="C127" s="96">
        <v>112.5</v>
      </c>
      <c r="D127" s="97"/>
      <c r="E127" s="99">
        <f>D127/D107*100</f>
        <v>0</v>
      </c>
      <c r="F127" s="87">
        <f t="shared" si="17"/>
        <v>0</v>
      </c>
      <c r="G127" s="87">
        <f t="shared" si="14"/>
        <v>0</v>
      </c>
      <c r="H127" s="88">
        <f t="shared" si="18"/>
        <v>37.5</v>
      </c>
      <c r="I127" s="88">
        <f t="shared" si="16"/>
        <v>112.5</v>
      </c>
      <c r="K127" s="152"/>
      <c r="L127" s="89"/>
      <c r="Q127" s="89"/>
    </row>
    <row r="128" spans="1:17" s="100" customFormat="1" ht="37.5">
      <c r="A128" s="95" t="s">
        <v>82</v>
      </c>
      <c r="B128" s="141">
        <v>9.3</v>
      </c>
      <c r="C128" s="96">
        <v>27.7</v>
      </c>
      <c r="D128" s="97"/>
      <c r="E128" s="99">
        <f>D128/D107*100</f>
        <v>0</v>
      </c>
      <c r="F128" s="87">
        <f t="shared" si="17"/>
        <v>0</v>
      </c>
      <c r="G128" s="87">
        <f t="shared" si="14"/>
        <v>0</v>
      </c>
      <c r="H128" s="88">
        <f t="shared" si="18"/>
        <v>9.3</v>
      </c>
      <c r="I128" s="88">
        <f t="shared" si="16"/>
        <v>27.7</v>
      </c>
      <c r="K128" s="152"/>
      <c r="L128" s="89"/>
      <c r="Q128" s="89"/>
    </row>
    <row r="129" spans="1:12" s="100" customFormat="1" ht="18.75" hidden="1">
      <c r="A129" s="98" t="s">
        <v>80</v>
      </c>
      <c r="B129" s="139"/>
      <c r="C129" s="96"/>
      <c r="D129" s="97"/>
      <c r="E129" s="99">
        <f>D129/D108*100</f>
        <v>0</v>
      </c>
      <c r="F129" s="87" t="e">
        <f t="shared" si="17"/>
        <v>#DIV/0!</v>
      </c>
      <c r="G129" s="87" t="e">
        <f t="shared" si="14"/>
        <v>#DIV/0!</v>
      </c>
      <c r="H129" s="88">
        <f t="shared" si="18"/>
        <v>0</v>
      </c>
      <c r="I129" s="88">
        <f t="shared" si="16"/>
        <v>0</v>
      </c>
      <c r="K129" s="152"/>
      <c r="L129" s="89"/>
    </row>
    <row r="130" spans="1:17" s="100" customFormat="1" ht="37.5">
      <c r="A130" s="95" t="s">
        <v>54</v>
      </c>
      <c r="B130" s="141">
        <v>78.5</v>
      </c>
      <c r="C130" s="96">
        <v>235.5</v>
      </c>
      <c r="D130" s="97">
        <v>7.7</v>
      </c>
      <c r="E130" s="99">
        <f>D130/D107*100</f>
        <v>0.07513367940361423</v>
      </c>
      <c r="F130" s="87">
        <f t="shared" si="17"/>
        <v>9.80891719745223</v>
      </c>
      <c r="G130" s="87">
        <f t="shared" si="14"/>
        <v>3.26963906581741</v>
      </c>
      <c r="H130" s="88">
        <f t="shared" si="18"/>
        <v>70.8</v>
      </c>
      <c r="I130" s="88">
        <f t="shared" si="16"/>
        <v>227.8</v>
      </c>
      <c r="K130" s="152"/>
      <c r="L130" s="89"/>
      <c r="Q130" s="89"/>
    </row>
    <row r="131" spans="1:17" s="101" customFormat="1" ht="18.75">
      <c r="A131" s="90" t="s">
        <v>85</v>
      </c>
      <c r="B131" s="91">
        <v>8</v>
      </c>
      <c r="C131" s="92">
        <v>23.9</v>
      </c>
      <c r="D131" s="93">
        <v>7.7</v>
      </c>
      <c r="E131" s="94">
        <f>D131/D130*100</f>
        <v>100</v>
      </c>
      <c r="F131" s="94">
        <f>D131/B131*100</f>
        <v>96.25</v>
      </c>
      <c r="G131" s="94">
        <f t="shared" si="14"/>
        <v>32.21757322175732</v>
      </c>
      <c r="H131" s="92">
        <f t="shared" si="18"/>
        <v>0.2999999999999998</v>
      </c>
      <c r="I131" s="92">
        <f t="shared" si="16"/>
        <v>16.2</v>
      </c>
      <c r="K131" s="152"/>
      <c r="L131" s="89"/>
      <c r="Q131" s="133"/>
    </row>
    <row r="132" spans="1:12" s="100" customFormat="1" ht="37.5">
      <c r="A132" s="95" t="s">
        <v>100</v>
      </c>
      <c r="B132" s="141">
        <v>40.4</v>
      </c>
      <c r="C132" s="96">
        <v>121.2</v>
      </c>
      <c r="D132" s="97"/>
      <c r="E132" s="99">
        <f>D132/D107*100</f>
        <v>0</v>
      </c>
      <c r="F132" s="87">
        <f t="shared" si="17"/>
        <v>0</v>
      </c>
      <c r="G132" s="87">
        <f t="shared" si="14"/>
        <v>0</v>
      </c>
      <c r="H132" s="88">
        <f t="shared" si="18"/>
        <v>40.4</v>
      </c>
      <c r="I132" s="88">
        <f t="shared" si="16"/>
        <v>121.2</v>
      </c>
      <c r="K132" s="152"/>
      <c r="L132" s="89"/>
    </row>
    <row r="133" spans="1:12" s="101" customFormat="1" ht="18.75" hidden="1">
      <c r="A133" s="98" t="s">
        <v>40</v>
      </c>
      <c r="B133" s="138"/>
      <c r="C133" s="92"/>
      <c r="D133" s="93"/>
      <c r="E133" s="94"/>
      <c r="F133" s="94" t="e">
        <f>D133/B133*100</f>
        <v>#DIV/0!</v>
      </c>
      <c r="G133" s="94" t="e">
        <f t="shared" si="14"/>
        <v>#DIV/0!</v>
      </c>
      <c r="H133" s="92">
        <f t="shared" si="18"/>
        <v>0</v>
      </c>
      <c r="I133" s="92">
        <f t="shared" si="16"/>
        <v>0</v>
      </c>
      <c r="K133" s="152"/>
      <c r="L133" s="89"/>
    </row>
    <row r="134" spans="1:12" s="100" customFormat="1" ht="35.25" customHeight="1" hidden="1">
      <c r="A134" s="95" t="s">
        <v>99</v>
      </c>
      <c r="B134" s="139"/>
      <c r="C134" s="96"/>
      <c r="D134" s="97"/>
      <c r="E134" s="99">
        <f>D134/D107*100</f>
        <v>0</v>
      </c>
      <c r="F134" s="87" t="e">
        <f t="shared" si="17"/>
        <v>#DIV/0!</v>
      </c>
      <c r="G134" s="87" t="e">
        <f t="shared" si="14"/>
        <v>#DIV/0!</v>
      </c>
      <c r="H134" s="88">
        <f t="shared" si="18"/>
        <v>0</v>
      </c>
      <c r="I134" s="88">
        <f>C134-D134</f>
        <v>0</v>
      </c>
      <c r="K134" s="152"/>
      <c r="L134" s="89"/>
    </row>
    <row r="135" spans="1:12" s="100" customFormat="1" ht="21.75" customHeight="1" hidden="1">
      <c r="A135" s="95" t="s">
        <v>98</v>
      </c>
      <c r="B135" s="139"/>
      <c r="C135" s="96"/>
      <c r="D135" s="97"/>
      <c r="E135" s="99">
        <f>D135/D107*100</f>
        <v>0</v>
      </c>
      <c r="F135" s="87" t="e">
        <f t="shared" si="17"/>
        <v>#DIV/0!</v>
      </c>
      <c r="G135" s="87" t="e">
        <f t="shared" si="14"/>
        <v>#DIV/0!</v>
      </c>
      <c r="H135" s="88">
        <f t="shared" si="18"/>
        <v>0</v>
      </c>
      <c r="I135" s="88">
        <f t="shared" si="16"/>
        <v>0</v>
      </c>
      <c r="K135" s="152"/>
      <c r="L135" s="89"/>
    </row>
    <row r="136" spans="1:12" s="100" customFormat="1" ht="35.25" customHeight="1">
      <c r="A136" s="95" t="s">
        <v>84</v>
      </c>
      <c r="B136" s="141">
        <v>123.6</v>
      </c>
      <c r="C136" s="96">
        <v>370.8</v>
      </c>
      <c r="D136" s="97"/>
      <c r="E136" s="99">
        <f>D136/D107*100</f>
        <v>0</v>
      </c>
      <c r="F136" s="87">
        <f t="shared" si="17"/>
        <v>0</v>
      </c>
      <c r="G136" s="87">
        <f t="shared" si="14"/>
        <v>0</v>
      </c>
      <c r="H136" s="88">
        <f t="shared" si="18"/>
        <v>123.6</v>
      </c>
      <c r="I136" s="88">
        <f t="shared" si="16"/>
        <v>370.8</v>
      </c>
      <c r="K136" s="152"/>
      <c r="L136" s="89"/>
    </row>
    <row r="137" spans="1:12" s="100" customFormat="1" ht="39" customHeight="1">
      <c r="A137" s="95" t="s">
        <v>51</v>
      </c>
      <c r="B137" s="141">
        <v>29.2</v>
      </c>
      <c r="C137" s="96">
        <v>87.5</v>
      </c>
      <c r="D137" s="97"/>
      <c r="E137" s="99">
        <f>D137/D107*100</f>
        <v>0</v>
      </c>
      <c r="F137" s="87">
        <f t="shared" si="17"/>
        <v>0</v>
      </c>
      <c r="G137" s="87">
        <f t="shared" si="14"/>
        <v>0</v>
      </c>
      <c r="H137" s="88">
        <f t="shared" si="18"/>
        <v>29.2</v>
      </c>
      <c r="I137" s="88">
        <f t="shared" si="16"/>
        <v>87.5</v>
      </c>
      <c r="K137" s="152"/>
      <c r="L137" s="89"/>
    </row>
    <row r="138" spans="1:12" s="101" customFormat="1" ht="18.75">
      <c r="A138" s="90" t="s">
        <v>85</v>
      </c>
      <c r="B138" s="91">
        <v>9.1</v>
      </c>
      <c r="C138" s="92">
        <v>27.5</v>
      </c>
      <c r="D138" s="93"/>
      <c r="E138" s="94"/>
      <c r="F138" s="87">
        <f>D138/B138*100</f>
        <v>0</v>
      </c>
      <c r="G138" s="94">
        <f>D138/C138*100</f>
        <v>0</v>
      </c>
      <c r="H138" s="92">
        <f>B138-D138</f>
        <v>9.1</v>
      </c>
      <c r="I138" s="92">
        <f>C138-D138</f>
        <v>27.5</v>
      </c>
      <c r="K138" s="152"/>
      <c r="L138" s="89"/>
    </row>
    <row r="139" spans="1:12" s="100" customFormat="1" ht="32.25" customHeight="1">
      <c r="A139" s="95" t="s">
        <v>81</v>
      </c>
      <c r="B139" s="141">
        <v>50.6</v>
      </c>
      <c r="C139" s="96">
        <v>151.9</v>
      </c>
      <c r="D139" s="97"/>
      <c r="E139" s="99">
        <f>D139/D107*100</f>
        <v>0</v>
      </c>
      <c r="F139" s="87">
        <f>D139/B139*100</f>
        <v>0</v>
      </c>
      <c r="G139" s="87">
        <f>D139/C139*100</f>
        <v>0</v>
      </c>
      <c r="H139" s="88">
        <f t="shared" si="18"/>
        <v>50.6</v>
      </c>
      <c r="I139" s="88">
        <f t="shared" si="16"/>
        <v>151.9</v>
      </c>
      <c r="K139" s="152"/>
      <c r="L139" s="89"/>
    </row>
    <row r="140" spans="1:12" s="101" customFormat="1" ht="18.75">
      <c r="A140" s="90" t="s">
        <v>25</v>
      </c>
      <c r="B140" s="91">
        <v>49.6</v>
      </c>
      <c r="C140" s="92">
        <v>147.9</v>
      </c>
      <c r="D140" s="93"/>
      <c r="E140" s="94" t="e">
        <f>D140/D139*100</f>
        <v>#DIV/0!</v>
      </c>
      <c r="F140" s="94">
        <f t="shared" si="17"/>
        <v>0</v>
      </c>
      <c r="G140" s="94">
        <f>D140/C140*100</f>
        <v>0</v>
      </c>
      <c r="H140" s="92">
        <f t="shared" si="18"/>
        <v>49.6</v>
      </c>
      <c r="I140" s="92">
        <f t="shared" si="16"/>
        <v>147.9</v>
      </c>
      <c r="K140" s="152"/>
      <c r="L140" s="89"/>
    </row>
    <row r="141" spans="1:12" s="100" customFormat="1" ht="18.75">
      <c r="A141" s="95" t="s">
        <v>93</v>
      </c>
      <c r="B141" s="141">
        <v>146.7</v>
      </c>
      <c r="C141" s="96">
        <v>440</v>
      </c>
      <c r="D141" s="97">
        <f>33.6+100.1</f>
        <v>133.7</v>
      </c>
      <c r="E141" s="99">
        <f>D141/D107*100</f>
        <v>1.3045938878263925</v>
      </c>
      <c r="F141" s="87">
        <f t="shared" si="17"/>
        <v>91.13837764144512</v>
      </c>
      <c r="G141" s="87">
        <f t="shared" si="14"/>
        <v>30.386363636363633</v>
      </c>
      <c r="H141" s="88">
        <f t="shared" si="18"/>
        <v>13</v>
      </c>
      <c r="I141" s="88">
        <f t="shared" si="16"/>
        <v>306.3</v>
      </c>
      <c r="J141" s="143"/>
      <c r="K141" s="152"/>
      <c r="L141" s="89"/>
    </row>
    <row r="142" spans="1:12" s="101" customFormat="1" ht="18.75">
      <c r="A142" s="98" t="s">
        <v>40</v>
      </c>
      <c r="B142" s="91">
        <v>134.5</v>
      </c>
      <c r="C142" s="92">
        <v>402.6</v>
      </c>
      <c r="D142" s="93">
        <f>33.6+99.1</f>
        <v>132.7</v>
      </c>
      <c r="E142" s="94">
        <f>D142/D141*100</f>
        <v>99.25205684367988</v>
      </c>
      <c r="F142" s="94">
        <f aca="true" t="shared" si="19" ref="F142:F151">D142/B142*100</f>
        <v>98.66171003717471</v>
      </c>
      <c r="G142" s="94">
        <f t="shared" si="14"/>
        <v>32.96075509190263</v>
      </c>
      <c r="H142" s="92">
        <f t="shared" si="18"/>
        <v>1.8000000000000114</v>
      </c>
      <c r="I142" s="92">
        <f t="shared" si="16"/>
        <v>269.90000000000003</v>
      </c>
      <c r="J142" s="144"/>
      <c r="K142" s="152"/>
      <c r="L142" s="89">
        <f>B108+B111+B114+B117+B119+B126+B127+B128+B130+B136+B71+B132+B137+B121+B113+B139+B70</f>
        <v>1101.3</v>
      </c>
    </row>
    <row r="143" spans="1:13" s="101" customFormat="1" ht="18.75">
      <c r="A143" s="90" t="s">
        <v>25</v>
      </c>
      <c r="B143" s="91">
        <v>9.1</v>
      </c>
      <c r="C143" s="92">
        <v>24.1</v>
      </c>
      <c r="D143" s="93"/>
      <c r="E143" s="94">
        <f>D143/D141*100</f>
        <v>0</v>
      </c>
      <c r="F143" s="94">
        <f t="shared" si="19"/>
        <v>0</v>
      </c>
      <c r="G143" s="94">
        <f>D143/C143*100</f>
        <v>0</v>
      </c>
      <c r="H143" s="92">
        <f t="shared" si="18"/>
        <v>9.1</v>
      </c>
      <c r="I143" s="92">
        <f t="shared" si="16"/>
        <v>24.1</v>
      </c>
      <c r="J143" s="144"/>
      <c r="K143" s="152"/>
      <c r="L143" s="89"/>
      <c r="M143" s="133"/>
    </row>
    <row r="144" spans="1:12" s="100" customFormat="1" ht="33.75" customHeight="1" hidden="1">
      <c r="A144" s="103" t="s">
        <v>53</v>
      </c>
      <c r="B144" s="141"/>
      <c r="C144" s="96"/>
      <c r="D144" s="97"/>
      <c r="E144" s="99">
        <f>D144/D107*100</f>
        <v>0</v>
      </c>
      <c r="F144" s="87" t="e">
        <f t="shared" si="19"/>
        <v>#DIV/0!</v>
      </c>
      <c r="G144" s="87" t="e">
        <f t="shared" si="14"/>
        <v>#DIV/0!</v>
      </c>
      <c r="H144" s="88">
        <f t="shared" si="18"/>
        <v>0</v>
      </c>
      <c r="I144" s="88">
        <f t="shared" si="16"/>
        <v>0</v>
      </c>
      <c r="J144" s="143"/>
      <c r="K144" s="152"/>
      <c r="L144" s="89"/>
    </row>
    <row r="145" spans="1:12" s="100" customFormat="1" ht="18.75" hidden="1">
      <c r="A145" s="103" t="s">
        <v>89</v>
      </c>
      <c r="B145" s="139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4"/>
        <v>#DIV/0!</v>
      </c>
      <c r="H145" s="88">
        <f t="shared" si="18"/>
        <v>0</v>
      </c>
      <c r="I145" s="88">
        <f t="shared" si="16"/>
        <v>0</v>
      </c>
      <c r="J145" s="143"/>
      <c r="K145" s="152"/>
      <c r="L145" s="89"/>
    </row>
    <row r="146" spans="1:12" s="100" customFormat="1" ht="18.75">
      <c r="A146" s="103" t="s">
        <v>94</v>
      </c>
      <c r="B146" s="141">
        <v>8064.3</v>
      </c>
      <c r="C146" s="96">
        <v>24193</v>
      </c>
      <c r="D146" s="97">
        <f>457.7+20.2+2395.4+103.8</f>
        <v>2977.1000000000004</v>
      </c>
      <c r="E146" s="99">
        <f>D146/D107*100</f>
        <v>29.049412591233764</v>
      </c>
      <c r="F146" s="87">
        <f t="shared" si="19"/>
        <v>36.91702937638729</v>
      </c>
      <c r="G146" s="87">
        <f t="shared" si="14"/>
        <v>12.305625594180135</v>
      </c>
      <c r="H146" s="88">
        <f t="shared" si="18"/>
        <v>5087.2</v>
      </c>
      <c r="I146" s="88">
        <f t="shared" si="16"/>
        <v>21215.9</v>
      </c>
      <c r="J146" s="143"/>
      <c r="K146" s="152"/>
      <c r="L146" s="89"/>
    </row>
    <row r="147" spans="1:12" s="100" customFormat="1" ht="18.75" hidden="1">
      <c r="A147" s="103" t="s">
        <v>83</v>
      </c>
      <c r="B147" s="139"/>
      <c r="C147" s="96"/>
      <c r="D147" s="97"/>
      <c r="E147" s="99">
        <f>D147/D107*100</f>
        <v>0</v>
      </c>
      <c r="F147" s="87" t="e">
        <f t="shared" si="19"/>
        <v>#DIV/0!</v>
      </c>
      <c r="G147" s="87" t="e">
        <f t="shared" si="14"/>
        <v>#DIV/0!</v>
      </c>
      <c r="H147" s="88">
        <f t="shared" si="18"/>
        <v>0</v>
      </c>
      <c r="I147" s="88">
        <f t="shared" si="16"/>
        <v>0</v>
      </c>
      <c r="J147" s="143"/>
      <c r="K147" s="152"/>
      <c r="L147" s="89"/>
    </row>
    <row r="148" spans="1:12" s="100" customFormat="1" ht="37.5" hidden="1">
      <c r="A148" s="103" t="s">
        <v>101</v>
      </c>
      <c r="B148" s="139"/>
      <c r="C148" s="96"/>
      <c r="D148" s="97"/>
      <c r="E148" s="99" t="e">
        <f>D148/D109*100</f>
        <v>#DIV/0!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3"/>
      <c r="K148" s="152"/>
      <c r="L148" s="89"/>
    </row>
    <row r="149" spans="1:12" s="100" customFormat="1" ht="18.75">
      <c r="A149" s="95" t="s">
        <v>95</v>
      </c>
      <c r="B149" s="141"/>
      <c r="C149" s="96">
        <v>29.5</v>
      </c>
      <c r="D149" s="97"/>
      <c r="E149" s="99">
        <f>D149/D107*100</f>
        <v>0</v>
      </c>
      <c r="F149" s="87" t="e">
        <f t="shared" si="19"/>
        <v>#DIV/0!</v>
      </c>
      <c r="G149" s="87">
        <f t="shared" si="14"/>
        <v>0</v>
      </c>
      <c r="H149" s="88">
        <f t="shared" si="18"/>
        <v>0</v>
      </c>
      <c r="I149" s="88">
        <f t="shared" si="16"/>
        <v>29.5</v>
      </c>
      <c r="J149" s="143"/>
      <c r="K149" s="152"/>
      <c r="L149" s="89"/>
    </row>
    <row r="150" spans="1:12" s="100" customFormat="1" ht="18" customHeight="1" hidden="1">
      <c r="A150" s="95" t="s">
        <v>74</v>
      </c>
      <c r="B150" s="141"/>
      <c r="C150" s="96"/>
      <c r="D150" s="97"/>
      <c r="E150" s="99">
        <f>D150/D107*100</f>
        <v>0</v>
      </c>
      <c r="F150" s="87" t="e">
        <f t="shared" si="19"/>
        <v>#DIV/0!</v>
      </c>
      <c r="G150" s="87" t="e">
        <f t="shared" si="14"/>
        <v>#DIV/0!</v>
      </c>
      <c r="H150" s="88">
        <f t="shared" si="18"/>
        <v>0</v>
      </c>
      <c r="I150" s="88">
        <f t="shared" si="16"/>
        <v>0</v>
      </c>
      <c r="J150" s="143"/>
      <c r="K150" s="152"/>
      <c r="L150" s="89"/>
    </row>
    <row r="151" spans="1:12" s="100" customFormat="1" ht="19.5" customHeight="1">
      <c r="A151" s="95" t="s">
        <v>47</v>
      </c>
      <c r="B151" s="141">
        <v>9702</v>
      </c>
      <c r="C151" s="96">
        <v>10263.9</v>
      </c>
      <c r="D151" s="97"/>
      <c r="E151" s="99">
        <f>D151/D107*100</f>
        <v>0</v>
      </c>
      <c r="F151" s="87">
        <f t="shared" si="19"/>
        <v>0</v>
      </c>
      <c r="G151" s="87">
        <f t="shared" si="14"/>
        <v>0</v>
      </c>
      <c r="H151" s="88">
        <f t="shared" si="18"/>
        <v>9702</v>
      </c>
      <c r="I151" s="88">
        <f>C151-D151</f>
        <v>10263.9</v>
      </c>
      <c r="K151" s="152"/>
      <c r="L151" s="89"/>
    </row>
    <row r="152" spans="1:12" s="100" customFormat="1" ht="18.75">
      <c r="A152" s="95" t="s">
        <v>96</v>
      </c>
      <c r="B152" s="141">
        <f>3519.3+2140.7+0.4</f>
        <v>5660.4</v>
      </c>
      <c r="C152" s="96">
        <f>10558+6422</f>
        <v>16980</v>
      </c>
      <c r="D152" s="97">
        <f>1886.8+1886.8+1886.8</f>
        <v>5660.4</v>
      </c>
      <c r="E152" s="99">
        <f>D152/D107*100</f>
        <v>55.23203622028805</v>
      </c>
      <c r="F152" s="87">
        <f t="shared" si="17"/>
        <v>100</v>
      </c>
      <c r="G152" s="87">
        <f t="shared" si="14"/>
        <v>33.3356890459364</v>
      </c>
      <c r="H152" s="88">
        <f t="shared" si="18"/>
        <v>0</v>
      </c>
      <c r="I152" s="88">
        <f t="shared" si="16"/>
        <v>11319.6</v>
      </c>
      <c r="K152" s="152"/>
      <c r="L152" s="89"/>
    </row>
    <row r="153" spans="1:12" s="2" customFormat="1" ht="19.5" thickBot="1">
      <c r="A153" s="24" t="s">
        <v>29</v>
      </c>
      <c r="B153" s="142"/>
      <c r="C153" s="58"/>
      <c r="D153" s="39">
        <f>D43+D69+D72+D77+D79+D87+D102+D107+D100+D84+D98</f>
        <v>12208.199999999997</v>
      </c>
      <c r="E153" s="12"/>
      <c r="F153" s="12"/>
      <c r="G153" s="4"/>
      <c r="H153" s="47"/>
      <c r="I153" s="39"/>
      <c r="K153" s="152"/>
      <c r="L153" s="28"/>
    </row>
    <row r="154" spans="1:12" ht="19.5" thickBot="1">
      <c r="A154" s="9" t="s">
        <v>18</v>
      </c>
      <c r="B154" s="35">
        <f>B6+B18+B33+B43+B51+B59+B69+B72+B77+B79+B87+B90+B95+B102+B107+B100+B84+B98+B45</f>
        <v>162748.5</v>
      </c>
      <c r="C154" s="35">
        <f>C6+C18+C33+C43+C51+C59+C69+C72+C77+C79+C87+C90+C95+C102+C107+C100+C84+C98+C45</f>
        <v>469433.39999999997</v>
      </c>
      <c r="D154" s="35">
        <f>D6+D18+D33+D43+D51+D59+D69+D72+D77+D79+D87+D90+D95+D102+D107+D100+D84+D98+D45</f>
        <v>114199.90000000001</v>
      </c>
      <c r="E154" s="23">
        <v>100</v>
      </c>
      <c r="F154" s="3">
        <f>D154/B154*100</f>
        <v>70.169556094219</v>
      </c>
      <c r="G154" s="3">
        <f aca="true" t="shared" si="20" ref="G154:G160">D154/C154*100</f>
        <v>24.32717825361383</v>
      </c>
      <c r="H154" s="35">
        <f>B154-D154</f>
        <v>48548.59999999999</v>
      </c>
      <c r="I154" s="35">
        <f aca="true" t="shared" si="21" ref="I154:I160">C154-D154</f>
        <v>355233.49999999994</v>
      </c>
      <c r="K154" s="134">
        <f>D154</f>
        <v>114199.90000000001</v>
      </c>
      <c r="L154" s="156"/>
    </row>
    <row r="155" spans="1:12" ht="18.75">
      <c r="A155" s="13" t="s">
        <v>5</v>
      </c>
      <c r="B155" s="46">
        <f>B8+B20+B34+B52+B60+B91+B115+B120+B46+B142+B133+B103</f>
        <v>76983.7</v>
      </c>
      <c r="C155" s="46">
        <f>C8+C20+C34+C52+C60+C91+C115+C120+C46+C142+C133+C103</f>
        <v>226542.90000000002</v>
      </c>
      <c r="D155" s="46">
        <f>D8+D20+D34+D52+D60+D91+D115+D120+D46+D142+D133+D103</f>
        <v>72698.8</v>
      </c>
      <c r="E155" s="4">
        <f>D155/D154*100</f>
        <v>63.65925013944845</v>
      </c>
      <c r="F155" s="4">
        <f aca="true" t="shared" si="22" ref="F155:F160">D155/B155*100</f>
        <v>94.43401655155571</v>
      </c>
      <c r="G155" s="4">
        <f t="shared" si="20"/>
        <v>32.090522369052394</v>
      </c>
      <c r="H155" s="47">
        <f aca="true" t="shared" si="23" ref="H155:H160">B155-D155</f>
        <v>4284.899999999994</v>
      </c>
      <c r="I155" s="57">
        <f t="shared" si="21"/>
        <v>153844.10000000003</v>
      </c>
      <c r="K155" s="152"/>
      <c r="L155" s="156"/>
    </row>
    <row r="156" spans="1:12" ht="18.75">
      <c r="A156" s="13" t="s">
        <v>0</v>
      </c>
      <c r="B156" s="161">
        <f>B11+B23+B36+B55+B62+B92+B49+B143+B109+B112+B96+B140+B129</f>
        <v>10640.400000000001</v>
      </c>
      <c r="C156" s="161">
        <f>C11+C23+C36+C55+C62+C92+C49+C143+C109+C112+C96+C140+C129</f>
        <v>35533.6</v>
      </c>
      <c r="D156" s="161">
        <f>D11+D23+D36+D55+D62+D92+D49+D143+D109+D112+D96+D140+D129</f>
        <v>158.6</v>
      </c>
      <c r="E156" s="4">
        <f>D156/D154*100</f>
        <v>0.1388792809801059</v>
      </c>
      <c r="F156" s="4">
        <f t="shared" si="22"/>
        <v>1.4905454682154804</v>
      </c>
      <c r="G156" s="4">
        <f t="shared" si="20"/>
        <v>0.4463381137852624</v>
      </c>
      <c r="H156" s="47">
        <f>B156-D156</f>
        <v>10481.800000000001</v>
      </c>
      <c r="I156" s="57">
        <f t="shared" si="21"/>
        <v>35375</v>
      </c>
      <c r="K156" s="152"/>
      <c r="L156" s="157"/>
    </row>
    <row r="157" spans="1:12" ht="18.75">
      <c r="A157" s="13" t="s">
        <v>1</v>
      </c>
      <c r="B157" s="162">
        <f>B22+B10+B54+B48+B61+B35+B124</f>
        <v>4299</v>
      </c>
      <c r="C157" s="162">
        <f>C22+C10+C54+C48+C61+C35+C124</f>
        <v>13618.5</v>
      </c>
      <c r="D157" s="162">
        <f>D22+D10+D54+D48+D61+D35+D124</f>
        <v>1671.6999999999998</v>
      </c>
      <c r="E157" s="4">
        <f>D157/D154*100</f>
        <v>1.4638366583508389</v>
      </c>
      <c r="F157" s="4">
        <f t="shared" si="22"/>
        <v>38.88578739241684</v>
      </c>
      <c r="G157" s="4">
        <f t="shared" si="20"/>
        <v>12.275213863494509</v>
      </c>
      <c r="H157" s="47">
        <f t="shared" si="23"/>
        <v>2627.3</v>
      </c>
      <c r="I157" s="57">
        <f t="shared" si="21"/>
        <v>11946.8</v>
      </c>
      <c r="K157" s="152"/>
      <c r="L157" s="156"/>
    </row>
    <row r="158" spans="1:12" ht="21" customHeight="1">
      <c r="A158" s="13" t="s">
        <v>14</v>
      </c>
      <c r="B158" s="162">
        <f>B12+B24+B104+B63+B38+B93+B131+B56+B138+B118</f>
        <v>6121.4</v>
      </c>
      <c r="C158" s="162">
        <f>C12+C24+C104+C63+C38+C93+C131+C56+C138+C118</f>
        <v>18430.100000000002</v>
      </c>
      <c r="D158" s="162">
        <f>D12+D24+D104+D63+D38+D93+D131+D56+D138+D118</f>
        <v>2947.7</v>
      </c>
      <c r="E158" s="4">
        <f>D158/D154*100</f>
        <v>2.5811756402588792</v>
      </c>
      <c r="F158" s="4">
        <f t="shared" si="22"/>
        <v>48.15401705492208</v>
      </c>
      <c r="G158" s="4">
        <f t="shared" si="20"/>
        <v>15.993944688308797</v>
      </c>
      <c r="H158" s="47">
        <f>B158-D158</f>
        <v>3173.7</v>
      </c>
      <c r="I158" s="57">
        <f t="shared" si="21"/>
        <v>15482.400000000001</v>
      </c>
      <c r="K158" s="152"/>
      <c r="L158" s="157"/>
    </row>
    <row r="159" spans="1:12" ht="18.75">
      <c r="A159" s="13" t="s">
        <v>2</v>
      </c>
      <c r="B159" s="46">
        <f>B9+B21+B47+B53+B123</f>
        <v>0</v>
      </c>
      <c r="C159" s="46">
        <f>C9+C21+C47+C53+C123</f>
        <v>0</v>
      </c>
      <c r="D159" s="46">
        <f>D9+D21+D47+D53+D123</f>
        <v>0</v>
      </c>
      <c r="E159" s="4">
        <f>D159/D154*100</f>
        <v>0</v>
      </c>
      <c r="F159" s="4" t="e">
        <f t="shared" si="22"/>
        <v>#DIV/0!</v>
      </c>
      <c r="G159" s="4" t="e">
        <f t="shared" si="20"/>
        <v>#DIV/0!</v>
      </c>
      <c r="H159" s="47">
        <f t="shared" si="23"/>
        <v>0</v>
      </c>
      <c r="I159" s="57">
        <f t="shared" si="21"/>
        <v>0</v>
      </c>
      <c r="K159" s="152"/>
      <c r="L159" s="156"/>
    </row>
    <row r="160" spans="1:12" ht="19.5" thickBot="1">
      <c r="A160" s="79" t="s">
        <v>27</v>
      </c>
      <c r="B160" s="59">
        <f>B154-B155-B156-B157-B158-B159</f>
        <v>64703.99999999999</v>
      </c>
      <c r="C160" s="59">
        <f>C154-C155-C156-C157-C158-C159</f>
        <v>175308.29999999993</v>
      </c>
      <c r="D160" s="59">
        <f>D154-D155-D156-D157-D158-D159</f>
        <v>36723.10000000001</v>
      </c>
      <c r="E160" s="26">
        <f>D160/D154*100</f>
        <v>32.15685828096173</v>
      </c>
      <c r="F160" s="26">
        <f t="shared" si="22"/>
        <v>56.755532888229496</v>
      </c>
      <c r="G160" s="26">
        <f t="shared" si="20"/>
        <v>20.947724665631934</v>
      </c>
      <c r="H160" s="80">
        <f t="shared" si="23"/>
        <v>27980.89999999998</v>
      </c>
      <c r="I160" s="80">
        <f t="shared" si="21"/>
        <v>138585.19999999992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4:11" ht="12.75">
      <c r="D163" s="152"/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9"/>
  <sheetViews>
    <sheetView view="pageBreakPreview" zoomScale="85" zoomScaleNormal="80" zoomScaleSheetLayoutView="85" workbookViewId="0" topLeftCell="A49">
      <selection activeCell="C38" sqref="C38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3" width="11.00390625" style="136" bestFit="1" customWidth="1"/>
    <col min="14" max="16" width="9.125" style="136" customWidth="1"/>
    <col min="17" max="17" width="11.375" style="136" bestFit="1" customWidth="1"/>
    <col min="18" max="16384" width="9.125" style="136" customWidth="1"/>
  </cols>
  <sheetData>
    <row r="1" spans="1:9" ht="66.75" customHeight="1">
      <c r="A1" s="171" t="s">
        <v>110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5"/>
      <c r="B2" s="15"/>
      <c r="C2" s="8"/>
      <c r="D2" s="8"/>
      <c r="E2" s="8"/>
      <c r="F2" s="8"/>
      <c r="G2" s="8"/>
      <c r="H2" s="8"/>
    </row>
    <row r="3" spans="1:9" ht="29.25" customHeight="1">
      <c r="A3" s="175" t="s">
        <v>37</v>
      </c>
      <c r="B3" s="178" t="s">
        <v>111</v>
      </c>
      <c r="C3" s="172" t="s">
        <v>104</v>
      </c>
      <c r="D3" s="172" t="s">
        <v>22</v>
      </c>
      <c r="E3" s="172" t="s">
        <v>21</v>
      </c>
      <c r="F3" s="172" t="s">
        <v>105</v>
      </c>
      <c r="G3" s="172" t="s">
        <v>106</v>
      </c>
      <c r="H3" s="172" t="s">
        <v>112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150"/>
    </row>
    <row r="6" spans="1:11" ht="18.75" thickBot="1">
      <c r="A6" s="16" t="s">
        <v>26</v>
      </c>
      <c r="B6" s="33">
        <v>139897.8</v>
      </c>
      <c r="C6" s="34">
        <f>206417.4+3429.4</f>
        <v>209846.8</v>
      </c>
      <c r="D6" s="35">
        <f>11099.2+9623.1+1.9+134.7+531.1+44.4+1464.8+43.3+356.7+16648.5+1044.7+22.2+15069.2+2403.3+273.5+220.6+39.4+2669.9+423.4+804.7+85+14514.4+10510.2+446+2528.1</f>
        <v>91002.3</v>
      </c>
      <c r="E6" s="3">
        <f>D6/D154*100</f>
        <v>45.95017511118652</v>
      </c>
      <c r="F6" s="3">
        <f>D6/B6*100</f>
        <v>65.04912872110927</v>
      </c>
      <c r="G6" s="3">
        <f aca="true" t="shared" si="0" ref="G6:G43">D6/C6*100</f>
        <v>43.366065148479755</v>
      </c>
      <c r="H6" s="35">
        <f>B6-D6</f>
        <v>48895.499999999985</v>
      </c>
      <c r="I6" s="35">
        <f aca="true" t="shared" si="1" ref="I6:I43">C6-D6</f>
        <v>118844.49999999999</v>
      </c>
      <c r="J6" s="151"/>
      <c r="K6" s="152">
        <f>H6-H7</f>
        <v>24307.79999999999</v>
      </c>
    </row>
    <row r="7" spans="1:12" s="83" customFormat="1" ht="18.75">
      <c r="A7" s="126" t="s">
        <v>78</v>
      </c>
      <c r="B7" s="127">
        <v>46039.2</v>
      </c>
      <c r="C7" s="128">
        <f>65629.4+3429.4+12063.7</f>
        <v>81122.49999999999</v>
      </c>
      <c r="D7" s="129">
        <f>9623.1+1044.7+273.5+10510.2</f>
        <v>21451.5</v>
      </c>
      <c r="E7" s="130">
        <f>D7/D6*100</f>
        <v>23.57248113509219</v>
      </c>
      <c r="F7" s="130">
        <f>D7/B7*100</f>
        <v>46.593989469843095</v>
      </c>
      <c r="G7" s="130">
        <f>D7/C7*100</f>
        <v>26.443341859533426</v>
      </c>
      <c r="H7" s="129">
        <f>B7-D7</f>
        <v>24587.699999999997</v>
      </c>
      <c r="I7" s="129">
        <f t="shared" si="1"/>
        <v>59670.999999999985</v>
      </c>
      <c r="J7" s="146"/>
      <c r="K7" s="152"/>
      <c r="L7" s="125"/>
    </row>
    <row r="8" spans="1:12" s="150" customFormat="1" ht="18">
      <c r="A8" s="90" t="s">
        <v>3</v>
      </c>
      <c r="B8" s="112">
        <v>108311.5</v>
      </c>
      <c r="C8" s="113">
        <f>161323.9+3429.4</f>
        <v>164753.3</v>
      </c>
      <c r="D8" s="92">
        <f>20722.3+1.9+16592.9+1044.7+15069.2+2403.3+273.5+14243.2+10510.2</f>
        <v>80861.2</v>
      </c>
      <c r="E8" s="94">
        <f>D8/D6*100</f>
        <v>88.85621572202021</v>
      </c>
      <c r="F8" s="94">
        <f>D8/B8*100</f>
        <v>74.65615377868463</v>
      </c>
      <c r="G8" s="94">
        <f t="shared" si="0"/>
        <v>49.080170169580825</v>
      </c>
      <c r="H8" s="92">
        <f>B8-D8</f>
        <v>27450.300000000003</v>
      </c>
      <c r="I8" s="92">
        <f t="shared" si="1"/>
        <v>83892.09999999999</v>
      </c>
      <c r="J8" s="151"/>
      <c r="K8" s="152"/>
      <c r="L8" s="125"/>
    </row>
    <row r="9" spans="1:12" s="150" customFormat="1" ht="18">
      <c r="A9" s="90" t="s">
        <v>2</v>
      </c>
      <c r="B9" s="112">
        <v>16.3</v>
      </c>
      <c r="C9" s="113">
        <v>16.3</v>
      </c>
      <c r="D9" s="92">
        <v>16.3</v>
      </c>
      <c r="E9" s="114">
        <f>D9/D6*100</f>
        <v>0.017911635200429</v>
      </c>
      <c r="F9" s="94">
        <f>D9/B9*100</f>
        <v>100</v>
      </c>
      <c r="G9" s="94">
        <f t="shared" si="0"/>
        <v>100</v>
      </c>
      <c r="H9" s="92">
        <f aca="true" t="shared" si="2" ref="H9:H43">B9-D9</f>
        <v>0</v>
      </c>
      <c r="I9" s="92">
        <f t="shared" si="1"/>
        <v>0</v>
      </c>
      <c r="J9" s="151"/>
      <c r="K9" s="152"/>
      <c r="L9" s="125"/>
    </row>
    <row r="10" spans="1:12" s="150" customFormat="1" ht="18">
      <c r="A10" s="90" t="s">
        <v>1</v>
      </c>
      <c r="B10" s="112">
        <v>9061.4</v>
      </c>
      <c r="C10" s="113">
        <f>13313.7</f>
        <v>13313.7</v>
      </c>
      <c r="D10" s="131">
        <f>525.8+44.4+601.2+43.3+356.4+55.6+22.2+1183.8+262+357.1+64+47.5+133.7+449.5</f>
        <v>4146.5</v>
      </c>
      <c r="E10" s="94">
        <f>D10/D6*100</f>
        <v>4.556478242857597</v>
      </c>
      <c r="F10" s="94">
        <f aca="true" t="shared" si="3" ref="F10:F41">D10/B10*100</f>
        <v>45.760037080362856</v>
      </c>
      <c r="G10" s="94">
        <f t="shared" si="0"/>
        <v>31.144610438871233</v>
      </c>
      <c r="H10" s="92">
        <f t="shared" si="2"/>
        <v>4914.9</v>
      </c>
      <c r="I10" s="92">
        <f t="shared" si="1"/>
        <v>9167.2</v>
      </c>
      <c r="J10" s="151"/>
      <c r="K10" s="152"/>
      <c r="L10" s="125"/>
    </row>
    <row r="11" spans="1:12" s="150" customFormat="1" ht="18">
      <c r="A11" s="90" t="s">
        <v>0</v>
      </c>
      <c r="B11" s="112">
        <f>19956.8-159.6</f>
        <v>19797.2</v>
      </c>
      <c r="C11" s="113">
        <f>27896.7-159.6</f>
        <v>27737.100000000002</v>
      </c>
      <c r="D11" s="132">
        <f>39.4+1482.5+161.1+446.7+223.7+143.2+2067.6</f>
        <v>4564.199999999999</v>
      </c>
      <c r="E11" s="94">
        <f>D11/D6*100</f>
        <v>5.0154776307851545</v>
      </c>
      <c r="F11" s="94">
        <f t="shared" si="3"/>
        <v>23.054775422787056</v>
      </c>
      <c r="G11" s="94">
        <f t="shared" si="0"/>
        <v>16.455217019803793</v>
      </c>
      <c r="H11" s="92">
        <f t="shared" si="2"/>
        <v>15233.000000000002</v>
      </c>
      <c r="I11" s="92">
        <f t="shared" si="1"/>
        <v>23172.9</v>
      </c>
      <c r="J11" s="151"/>
      <c r="K11" s="152"/>
      <c r="L11" s="125"/>
    </row>
    <row r="12" spans="1:12" s="150" customFormat="1" ht="18">
      <c r="A12" s="90" t="s">
        <v>14</v>
      </c>
      <c r="B12" s="112">
        <v>2129.2</v>
      </c>
      <c r="C12" s="113">
        <v>3222.6</v>
      </c>
      <c r="D12" s="92">
        <f>134.7+863.6+21+169</f>
        <v>1188.3</v>
      </c>
      <c r="E12" s="94">
        <f>D12/D6*100</f>
        <v>1.3057911723110294</v>
      </c>
      <c r="F12" s="94">
        <f t="shared" si="3"/>
        <v>55.80969378170205</v>
      </c>
      <c r="G12" s="94">
        <f t="shared" si="0"/>
        <v>36.87395270899274</v>
      </c>
      <c r="H12" s="92">
        <f>B12-D12</f>
        <v>940.8999999999999</v>
      </c>
      <c r="I12" s="92">
        <f t="shared" si="1"/>
        <v>2034.3</v>
      </c>
      <c r="J12" s="151"/>
      <c r="K12" s="152"/>
      <c r="L12" s="125"/>
    </row>
    <row r="13" spans="1:12" s="150" customFormat="1" ht="18.75" thickBot="1">
      <c r="A13" s="90" t="s">
        <v>27</v>
      </c>
      <c r="B13" s="113">
        <f>B6-B8-B9-B10-B11-B12</f>
        <v>582.1999999999907</v>
      </c>
      <c r="C13" s="113">
        <f>C6-C8-C9-C10-C11-C12</f>
        <v>803.7999999999943</v>
      </c>
      <c r="D13" s="113">
        <f>D6-D8-D9-D10-D11-D12</f>
        <v>225.80000000000769</v>
      </c>
      <c r="E13" s="94">
        <f>D13/D6*100</f>
        <v>0.2481255968255832</v>
      </c>
      <c r="F13" s="94">
        <f t="shared" si="3"/>
        <v>38.78392305050005</v>
      </c>
      <c r="G13" s="94">
        <f t="shared" si="0"/>
        <v>28.091565065937957</v>
      </c>
      <c r="H13" s="92">
        <f t="shared" si="2"/>
        <v>356.39999999998304</v>
      </c>
      <c r="I13" s="92">
        <f t="shared" si="1"/>
        <v>577.9999999999866</v>
      </c>
      <c r="J13" s="151"/>
      <c r="K13" s="152"/>
      <c r="L13" s="125"/>
    </row>
    <row r="14" spans="1:13" s="27" customFormat="1" ht="18.75" customHeight="1" hidden="1">
      <c r="A14" s="68" t="s">
        <v>58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71">
        <f>B14-D14</f>
        <v>0</v>
      </c>
      <c r="I14" s="71">
        <f>C14-D14</f>
        <v>0</v>
      </c>
      <c r="J14" s="146"/>
      <c r="K14" s="136"/>
      <c r="L14" s="136"/>
      <c r="M14" s="136"/>
    </row>
    <row r="15" spans="1:13" s="27" customFormat="1" ht="18.75" customHeight="1" hidden="1">
      <c r="A15" s="68" t="s">
        <v>55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71">
        <f>B15-D15</f>
        <v>0</v>
      </c>
      <c r="I15" s="71">
        <f>C15-D15</f>
        <v>0</v>
      </c>
      <c r="J15" s="146"/>
      <c r="K15" s="136"/>
      <c r="L15" s="136"/>
      <c r="M15" s="136"/>
    </row>
    <row r="16" spans="1:13" s="27" customFormat="1" ht="19.5" hidden="1" thickBot="1">
      <c r="A16" s="68" t="s">
        <v>56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71">
        <f>B16-D16</f>
        <v>0</v>
      </c>
      <c r="I16" s="71">
        <f>C16-D16</f>
        <v>0</v>
      </c>
      <c r="J16" s="146"/>
      <c r="K16" s="136"/>
      <c r="L16" s="136"/>
      <c r="M16" s="136"/>
    </row>
    <row r="17" spans="1:13" s="27" customFormat="1" ht="19.5" hidden="1" thickBot="1">
      <c r="A17" s="68" t="s">
        <v>57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71">
        <f>B17-D17</f>
        <v>0</v>
      </c>
      <c r="I17" s="71">
        <f>C17-D17</f>
        <v>0</v>
      </c>
      <c r="J17" s="146"/>
      <c r="K17" s="136"/>
      <c r="L17" s="136"/>
      <c r="M17" s="136"/>
    </row>
    <row r="18" spans="1:11" ht="18.75" thickBot="1">
      <c r="A18" s="16" t="s">
        <v>19</v>
      </c>
      <c r="B18" s="33">
        <v>64083.7</v>
      </c>
      <c r="C18" s="34">
        <f>101939.2-5813.6</f>
        <v>96125.59999999999</v>
      </c>
      <c r="D18" s="35">
        <f>9880.4+236.6+6978.3+6921+371.7+499.9+9964.9+4030.7+430.2</f>
        <v>39313.7</v>
      </c>
      <c r="E18" s="3">
        <f>D18/D154*100</f>
        <v>19.850832333563584</v>
      </c>
      <c r="F18" s="3">
        <f>D18/B18*100</f>
        <v>61.34742532032327</v>
      </c>
      <c r="G18" s="3">
        <f t="shared" si="0"/>
        <v>40.89826227352547</v>
      </c>
      <c r="H18" s="35">
        <f>B18-D18</f>
        <v>24770</v>
      </c>
      <c r="I18" s="35">
        <f t="shared" si="1"/>
        <v>56811.899999999994</v>
      </c>
      <c r="J18" s="151"/>
      <c r="K18" s="152">
        <f>H18-H19</f>
        <v>18626.800000000007</v>
      </c>
    </row>
    <row r="19" spans="1:13" s="83" customFormat="1" ht="18.75">
      <c r="A19" s="126" t="s">
        <v>79</v>
      </c>
      <c r="B19" s="127">
        <v>34076.2</v>
      </c>
      <c r="C19" s="128">
        <f>56928-5813.6</f>
        <v>51114.4</v>
      </c>
      <c r="D19" s="129">
        <f>9880.4+236.6+6921+499.9+9964.9+430.2</f>
        <v>27933.000000000004</v>
      </c>
      <c r="E19" s="130">
        <f>D19/D18*100</f>
        <v>71.05156726535536</v>
      </c>
      <c r="F19" s="130">
        <f t="shared" si="3"/>
        <v>81.97216825819783</v>
      </c>
      <c r="G19" s="130">
        <f t="shared" si="0"/>
        <v>54.648005258792054</v>
      </c>
      <c r="H19" s="129">
        <f t="shared" si="2"/>
        <v>6143.199999999993</v>
      </c>
      <c r="I19" s="129">
        <f t="shared" si="1"/>
        <v>23181.399999999998</v>
      </c>
      <c r="J19" s="146"/>
      <c r="K19" s="152"/>
      <c r="L19" s="150"/>
      <c r="M19" s="150"/>
    </row>
    <row r="20" spans="1:11" s="150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1"/>
      <c r="K20" s="152">
        <f>C20-B20</f>
        <v>0</v>
      </c>
    </row>
    <row r="21" spans="1:11" s="150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1"/>
      <c r="K21" s="152">
        <f>C21-B21</f>
        <v>0</v>
      </c>
    </row>
    <row r="22" spans="1:11" s="150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1"/>
      <c r="K22" s="152">
        <f>C22-B22</f>
        <v>0</v>
      </c>
    </row>
    <row r="23" spans="1:11" s="150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1"/>
      <c r="K23" s="152">
        <f>C23-B23</f>
        <v>0</v>
      </c>
    </row>
    <row r="24" spans="1:11" s="150" customFormat="1" ht="18">
      <c r="A24" s="90" t="s">
        <v>14</v>
      </c>
      <c r="B24" s="112">
        <v>166.6</v>
      </c>
      <c r="C24" s="113">
        <v>249.8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166.6</v>
      </c>
      <c r="I24" s="92">
        <f t="shared" si="1"/>
        <v>249.8</v>
      </c>
      <c r="J24" s="151"/>
      <c r="K24" s="152">
        <f>C24-B24</f>
        <v>83.20000000000002</v>
      </c>
    </row>
    <row r="25" spans="1:11" s="150" customFormat="1" ht="18.75" thickBot="1">
      <c r="A25" s="90" t="s">
        <v>27</v>
      </c>
      <c r="B25" s="113">
        <f>B18-B24</f>
        <v>63917.1</v>
      </c>
      <c r="C25" s="113">
        <f>C18-C24</f>
        <v>95875.79999999999</v>
      </c>
      <c r="D25" s="113">
        <f>D18-D24</f>
        <v>39313.7</v>
      </c>
      <c r="E25" s="94">
        <f>D25/D18*100</f>
        <v>100</v>
      </c>
      <c r="F25" s="94">
        <f t="shared" si="3"/>
        <v>61.507327460100655</v>
      </c>
      <c r="G25" s="94">
        <f t="shared" si="0"/>
        <v>41.00482082026956</v>
      </c>
      <c r="H25" s="92">
        <f>B25-D25</f>
        <v>24603.4</v>
      </c>
      <c r="I25" s="92">
        <f t="shared" si="1"/>
        <v>56562.09999999999</v>
      </c>
      <c r="J25" s="151"/>
      <c r="K25" s="152"/>
    </row>
    <row r="26" spans="1:11" ht="57" hidden="1" thickBot="1">
      <c r="A26" s="68" t="s">
        <v>66</v>
      </c>
      <c r="B26" s="31"/>
      <c r="C26" s="31"/>
      <c r="D26" s="31"/>
      <c r="E26" s="1"/>
      <c r="F26" s="1" t="e">
        <f t="shared" si="3"/>
        <v>#DIV/0!</v>
      </c>
      <c r="G26" s="1" t="e">
        <f t="shared" si="0"/>
        <v>#DIV/0!</v>
      </c>
      <c r="H26" s="32">
        <f t="shared" si="2"/>
        <v>0</v>
      </c>
      <c r="I26" s="32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8" t="s">
        <v>67</v>
      </c>
      <c r="B27" s="31"/>
      <c r="C27" s="31"/>
      <c r="D27" s="31"/>
      <c r="E27" s="1"/>
      <c r="F27" s="1" t="e">
        <f t="shared" si="3"/>
        <v>#DIV/0!</v>
      </c>
      <c r="G27" s="1" t="e">
        <f t="shared" si="0"/>
        <v>#DIV/0!</v>
      </c>
      <c r="H27" s="32">
        <f t="shared" si="2"/>
        <v>0</v>
      </c>
      <c r="I27" s="32">
        <f t="shared" si="1"/>
        <v>0</v>
      </c>
      <c r="J27" s="151"/>
      <c r="K27" s="152">
        <f t="shared" si="4"/>
        <v>0</v>
      </c>
    </row>
    <row r="28" spans="1:11" ht="19.5" hidden="1" thickBot="1">
      <c r="A28" s="68" t="s">
        <v>68</v>
      </c>
      <c r="B28" s="31"/>
      <c r="C28" s="31"/>
      <c r="D28" s="31"/>
      <c r="E28" s="1"/>
      <c r="F28" s="1" t="e">
        <f t="shared" si="3"/>
        <v>#DIV/0!</v>
      </c>
      <c r="G28" s="1" t="e">
        <f t="shared" si="0"/>
        <v>#DIV/0!</v>
      </c>
      <c r="H28" s="32">
        <f t="shared" si="2"/>
        <v>0</v>
      </c>
      <c r="I28" s="32">
        <f t="shared" si="1"/>
        <v>0</v>
      </c>
      <c r="J28" s="151"/>
      <c r="K28" s="152">
        <f t="shared" si="4"/>
        <v>0</v>
      </c>
    </row>
    <row r="29" spans="1:11" ht="39.75" customHeight="1" hidden="1">
      <c r="A29" s="68" t="s">
        <v>69</v>
      </c>
      <c r="B29" s="31"/>
      <c r="C29" s="31"/>
      <c r="D29" s="31"/>
      <c r="E29" s="1"/>
      <c r="F29" s="1" t="e">
        <f t="shared" si="3"/>
        <v>#DIV/0!</v>
      </c>
      <c r="G29" s="1" t="e">
        <f t="shared" si="0"/>
        <v>#DIV/0!</v>
      </c>
      <c r="H29" s="32">
        <f t="shared" si="2"/>
        <v>0</v>
      </c>
      <c r="I29" s="32">
        <f t="shared" si="1"/>
        <v>0</v>
      </c>
      <c r="J29" s="151"/>
      <c r="K29" s="152">
        <f t="shared" si="4"/>
        <v>0</v>
      </c>
    </row>
    <row r="30" spans="1:11" ht="37.5" customHeight="1" hidden="1">
      <c r="A30" s="68" t="s">
        <v>70</v>
      </c>
      <c r="B30" s="31"/>
      <c r="C30" s="31"/>
      <c r="D30" s="31"/>
      <c r="E30" s="1"/>
      <c r="F30" s="1" t="e">
        <f>D30/B30*100</f>
        <v>#DIV/0!</v>
      </c>
      <c r="G30" s="1" t="e">
        <f t="shared" si="0"/>
        <v>#DIV/0!</v>
      </c>
      <c r="H30" s="32">
        <f t="shared" si="2"/>
        <v>0</v>
      </c>
      <c r="I30" s="32">
        <f t="shared" si="1"/>
        <v>0</v>
      </c>
      <c r="J30" s="151"/>
      <c r="K30" s="152">
        <f t="shared" si="4"/>
        <v>0</v>
      </c>
    </row>
    <row r="31" spans="1:11" ht="36" customHeight="1" hidden="1">
      <c r="A31" s="68" t="s">
        <v>71</v>
      </c>
      <c r="B31" s="31"/>
      <c r="C31" s="31"/>
      <c r="D31" s="31"/>
      <c r="E31" s="1"/>
      <c r="F31" s="1" t="e">
        <f t="shared" si="3"/>
        <v>#DIV/0!</v>
      </c>
      <c r="G31" s="1" t="e">
        <f t="shared" si="0"/>
        <v>#DIV/0!</v>
      </c>
      <c r="H31" s="32">
        <f t="shared" si="2"/>
        <v>0</v>
      </c>
      <c r="I31" s="32">
        <f t="shared" si="1"/>
        <v>0</v>
      </c>
      <c r="J31" s="151"/>
      <c r="K31" s="152">
        <f t="shared" si="4"/>
        <v>0</v>
      </c>
    </row>
    <row r="32" spans="1:11" ht="19.5" hidden="1" thickBot="1">
      <c r="A32" s="68" t="s">
        <v>72</v>
      </c>
      <c r="B32" s="31"/>
      <c r="C32" s="31"/>
      <c r="D32" s="31"/>
      <c r="E32" s="1"/>
      <c r="F32" s="1" t="e">
        <f t="shared" si="3"/>
        <v>#DIV/0!</v>
      </c>
      <c r="G32" s="1" t="e">
        <f t="shared" si="0"/>
        <v>#DIV/0!</v>
      </c>
      <c r="H32" s="32">
        <f t="shared" si="2"/>
        <v>0</v>
      </c>
      <c r="I32" s="32">
        <f t="shared" si="1"/>
        <v>0</v>
      </c>
      <c r="J32" s="151"/>
      <c r="K32" s="152">
        <f t="shared" si="4"/>
        <v>0</v>
      </c>
    </row>
    <row r="33" spans="1:11" ht="18.75" thickBot="1">
      <c r="A33" s="16" t="s">
        <v>17</v>
      </c>
      <c r="B33" s="33">
        <v>4144.9</v>
      </c>
      <c r="C33" s="34">
        <v>6217.4</v>
      </c>
      <c r="D33" s="37">
        <f>238.4+293+43.5+2+39.3+520.9+174.4+181.2+85.5+20.9+137.9+290.2+173.9</f>
        <v>2201.1000000000004</v>
      </c>
      <c r="E33" s="3">
        <f>D33/D154*100</f>
        <v>1.1114107054132991</v>
      </c>
      <c r="F33" s="3">
        <f>D33/B33*100</f>
        <v>53.10381432603924</v>
      </c>
      <c r="G33" s="3">
        <f t="shared" si="0"/>
        <v>35.40225817865989</v>
      </c>
      <c r="H33" s="35">
        <f t="shared" si="2"/>
        <v>1943.7999999999993</v>
      </c>
      <c r="I33" s="35">
        <f t="shared" si="1"/>
        <v>4016.2999999999993</v>
      </c>
      <c r="J33" s="151"/>
      <c r="K33" s="152"/>
    </row>
    <row r="34" spans="1:11" s="150" customFormat="1" ht="18">
      <c r="A34" s="90" t="s">
        <v>3</v>
      </c>
      <c r="B34" s="112">
        <v>2206.9</v>
      </c>
      <c r="C34" s="113">
        <v>3354.7</v>
      </c>
      <c r="D34" s="92">
        <f>95.5+254.3+520.9+145.6+77.4+290.2</f>
        <v>1383.9</v>
      </c>
      <c r="E34" s="94">
        <f>D34/D33*100</f>
        <v>62.873108900095396</v>
      </c>
      <c r="F34" s="94">
        <f t="shared" si="3"/>
        <v>62.70787076895192</v>
      </c>
      <c r="G34" s="94">
        <f t="shared" si="0"/>
        <v>41.25257101976332</v>
      </c>
      <c r="H34" s="92">
        <f t="shared" si="2"/>
        <v>823</v>
      </c>
      <c r="I34" s="92">
        <f t="shared" si="1"/>
        <v>1970.7999999999997</v>
      </c>
      <c r="J34" s="151"/>
      <c r="K34" s="152"/>
    </row>
    <row r="35" spans="1:11" s="150" customFormat="1" ht="18">
      <c r="A35" s="90" t="s">
        <v>1</v>
      </c>
      <c r="B35" s="112">
        <v>20</v>
      </c>
      <c r="C35" s="113">
        <v>30</v>
      </c>
      <c r="D35" s="92">
        <f>10+2</f>
        <v>12</v>
      </c>
      <c r="E35" s="94">
        <f>D35/D33*100</f>
        <v>0.5451819544773067</v>
      </c>
      <c r="F35" s="94">
        <f t="shared" si="3"/>
        <v>60</v>
      </c>
      <c r="G35" s="94">
        <f t="shared" si="0"/>
        <v>40</v>
      </c>
      <c r="H35" s="92">
        <f t="shared" si="2"/>
        <v>8</v>
      </c>
      <c r="I35" s="92">
        <f t="shared" si="1"/>
        <v>18</v>
      </c>
      <c r="J35" s="151"/>
      <c r="K35" s="152"/>
    </row>
    <row r="36" spans="1:11" s="150" customFormat="1" ht="18">
      <c r="A36" s="90" t="s">
        <v>0</v>
      </c>
      <c r="B36" s="112">
        <v>333.5</v>
      </c>
      <c r="C36" s="113">
        <v>484.4</v>
      </c>
      <c r="D36" s="92"/>
      <c r="E36" s="94">
        <f>D36/D33*100</f>
        <v>0</v>
      </c>
      <c r="F36" s="94">
        <f t="shared" si="3"/>
        <v>0</v>
      </c>
      <c r="G36" s="94">
        <f t="shared" si="0"/>
        <v>0</v>
      </c>
      <c r="H36" s="92">
        <f t="shared" si="2"/>
        <v>333.5</v>
      </c>
      <c r="I36" s="92">
        <f t="shared" si="1"/>
        <v>484.4</v>
      </c>
      <c r="J36" s="151"/>
      <c r="K36" s="152"/>
    </row>
    <row r="37" spans="1:12" s="83" customFormat="1" ht="18.75">
      <c r="A37" s="103" t="s">
        <v>7</v>
      </c>
      <c r="B37" s="123">
        <v>168</v>
      </c>
      <c r="C37" s="124">
        <v>252</v>
      </c>
      <c r="D37" s="96">
        <f>38.7+2+2.3</f>
        <v>43</v>
      </c>
      <c r="E37" s="99">
        <f>D37/D33*100</f>
        <v>1.953568670210349</v>
      </c>
      <c r="F37" s="99">
        <f t="shared" si="3"/>
        <v>25.595238095238095</v>
      </c>
      <c r="G37" s="99">
        <f t="shared" si="0"/>
        <v>17.063492063492063</v>
      </c>
      <c r="H37" s="96">
        <f t="shared" si="2"/>
        <v>125</v>
      </c>
      <c r="I37" s="96">
        <f t="shared" si="1"/>
        <v>209</v>
      </c>
      <c r="J37" s="146"/>
      <c r="K37" s="152"/>
      <c r="L37" s="125"/>
    </row>
    <row r="38" spans="1:11" s="150" customFormat="1" ht="18">
      <c r="A38" s="90" t="s">
        <v>14</v>
      </c>
      <c r="B38" s="112">
        <v>34</v>
      </c>
      <c r="C38" s="113">
        <v>51</v>
      </c>
      <c r="D38" s="113">
        <v>5.1</v>
      </c>
      <c r="E38" s="94">
        <f>D38/D33*100</f>
        <v>0.23170233065285534</v>
      </c>
      <c r="F38" s="94">
        <f t="shared" si="3"/>
        <v>15</v>
      </c>
      <c r="G38" s="94">
        <f t="shared" si="0"/>
        <v>10</v>
      </c>
      <c r="H38" s="92">
        <f t="shared" si="2"/>
        <v>28.9</v>
      </c>
      <c r="I38" s="92">
        <f t="shared" si="1"/>
        <v>45.9</v>
      </c>
      <c r="J38" s="151"/>
      <c r="K38" s="152"/>
    </row>
    <row r="39" spans="1:11" s="150" customFormat="1" ht="18.75" thickBot="1">
      <c r="A39" s="90" t="s">
        <v>27</v>
      </c>
      <c r="B39" s="112">
        <f>B33-B34-B36-B37-B35-B38</f>
        <v>1382.4999999999995</v>
      </c>
      <c r="C39" s="112">
        <f>C33-C34-C36-C37-C35-C38</f>
        <v>2045.2999999999997</v>
      </c>
      <c r="D39" s="112">
        <f>D33-D34-D36-D37-D35-D38</f>
        <v>757.1000000000003</v>
      </c>
      <c r="E39" s="94">
        <f>D39/D33*100</f>
        <v>34.39643814456409</v>
      </c>
      <c r="F39" s="94">
        <f t="shared" si="3"/>
        <v>54.763110307414145</v>
      </c>
      <c r="G39" s="94">
        <f t="shared" si="0"/>
        <v>37.016574585635375</v>
      </c>
      <c r="H39" s="92">
        <f>B39-D39</f>
        <v>625.3999999999993</v>
      </c>
      <c r="I39" s="92">
        <f t="shared" si="1"/>
        <v>1288.1999999999994</v>
      </c>
      <c r="J39" s="151"/>
      <c r="K39" s="152"/>
    </row>
    <row r="40" spans="1:11" ht="19.5" hidden="1" thickBot="1">
      <c r="A40" s="68" t="s">
        <v>63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71">
        <f>B40-D40</f>
        <v>0</v>
      </c>
      <c r="I40" s="71">
        <f t="shared" si="1"/>
        <v>0</v>
      </c>
      <c r="J40" s="151"/>
      <c r="K40" s="152">
        <f>C40-B40</f>
        <v>0</v>
      </c>
    </row>
    <row r="41" spans="1:11" ht="19.5" hidden="1" thickBot="1">
      <c r="A41" s="68" t="s">
        <v>64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71">
        <f>B41-D41</f>
        <v>0</v>
      </c>
      <c r="I41" s="71">
        <f t="shared" si="1"/>
        <v>0</v>
      </c>
      <c r="J41" s="151"/>
      <c r="K41" s="152">
        <f>C41-B41</f>
        <v>0</v>
      </c>
    </row>
    <row r="42" spans="1:11" ht="19.5" hidden="1" thickBot="1">
      <c r="A42" s="68" t="s">
        <v>65</v>
      </c>
      <c r="B42" s="69"/>
      <c r="C42" s="69"/>
      <c r="D42" s="69"/>
      <c r="E42" s="67"/>
      <c r="F42" s="67"/>
      <c r="G42" s="67" t="e">
        <f t="shared" si="0"/>
        <v>#DIV/0!</v>
      </c>
      <c r="H42" s="71">
        <f>B42-D42</f>
        <v>0</v>
      </c>
      <c r="I42" s="71">
        <f t="shared" si="1"/>
        <v>0</v>
      </c>
      <c r="J42" s="151"/>
      <c r="K42" s="152">
        <f>C42-B42</f>
        <v>0</v>
      </c>
    </row>
    <row r="43" spans="1:11" ht="19.5" thickBot="1">
      <c r="A43" s="9" t="s">
        <v>16</v>
      </c>
      <c r="B43" s="70">
        <v>103</v>
      </c>
      <c r="C43" s="34">
        <v>154.6</v>
      </c>
      <c r="D43" s="35">
        <f>18+9.7+7.2</f>
        <v>34.9</v>
      </c>
      <c r="E43" s="3">
        <f>D43/D154*100</f>
        <v>0.017622204179239532</v>
      </c>
      <c r="F43" s="3">
        <f>D43/B43*100</f>
        <v>33.883495145631066</v>
      </c>
      <c r="G43" s="3">
        <f t="shared" si="0"/>
        <v>22.57438551099612</v>
      </c>
      <c r="H43" s="35">
        <f t="shared" si="2"/>
        <v>68.1</v>
      </c>
      <c r="I43" s="35">
        <f t="shared" si="1"/>
        <v>119.69999999999999</v>
      </c>
      <c r="J43" s="151"/>
      <c r="K43" s="152"/>
    </row>
    <row r="44" spans="1:11" ht="12" customHeight="1" thickBot="1">
      <c r="A44" s="19"/>
      <c r="B44" s="41"/>
      <c r="C44" s="42"/>
      <c r="D44" s="43"/>
      <c r="E44" s="5"/>
      <c r="F44" s="5"/>
      <c r="G44" s="5"/>
      <c r="H44" s="43"/>
      <c r="I44" s="43"/>
      <c r="J44" s="151"/>
      <c r="K44" s="152"/>
    </row>
    <row r="45" spans="1:11" ht="18.75" thickBot="1">
      <c r="A45" s="16" t="s">
        <v>41</v>
      </c>
      <c r="B45" s="33">
        <v>2262.7</v>
      </c>
      <c r="C45" s="34">
        <v>3394.1</v>
      </c>
      <c r="D45" s="35">
        <f>346.4+682.6-0.1+14.1+556.7+0.1</f>
        <v>1599.8</v>
      </c>
      <c r="E45" s="3">
        <f>D45/D154*100</f>
        <v>0.8077937606288653</v>
      </c>
      <c r="F45" s="3">
        <f>D45/B45*100</f>
        <v>70.7031422636673</v>
      </c>
      <c r="G45" s="3">
        <f aca="true" t="shared" si="5" ref="G45:G76">D45/C45*100</f>
        <v>47.1347338027754</v>
      </c>
      <c r="H45" s="35">
        <f>B45-D45</f>
        <v>662.8999999999999</v>
      </c>
      <c r="I45" s="35">
        <f aca="true" t="shared" si="6" ref="I45:I77">C45-D45</f>
        <v>1794.3</v>
      </c>
      <c r="J45" s="151"/>
      <c r="K45" s="152"/>
    </row>
    <row r="46" spans="1:11" s="150" customFormat="1" ht="18">
      <c r="A46" s="90" t="s">
        <v>3</v>
      </c>
      <c r="B46" s="112">
        <v>1970.7</v>
      </c>
      <c r="C46" s="113">
        <v>2956</v>
      </c>
      <c r="D46" s="92">
        <f>332.5+633.1+14.1+510.1</f>
        <v>1489.8000000000002</v>
      </c>
      <c r="E46" s="94">
        <f>D46/D45*100</f>
        <v>93.12414051756471</v>
      </c>
      <c r="F46" s="94">
        <f aca="true" t="shared" si="7" ref="F46:F74">D46/B46*100</f>
        <v>75.59750342517889</v>
      </c>
      <c r="G46" s="94">
        <f t="shared" si="5"/>
        <v>50.399188092016246</v>
      </c>
      <c r="H46" s="92">
        <f aca="true" t="shared" si="8" ref="H46:H74">B46-D46</f>
        <v>480.89999999999986</v>
      </c>
      <c r="I46" s="92">
        <f t="shared" si="6"/>
        <v>1466.1999999999998</v>
      </c>
      <c r="J46" s="151"/>
      <c r="K46" s="152"/>
    </row>
    <row r="47" spans="1:11" s="150" customFormat="1" ht="18" hidden="1">
      <c r="A47" s="90" t="s">
        <v>2</v>
      </c>
      <c r="B47" s="112"/>
      <c r="C47" s="113"/>
      <c r="D47" s="92"/>
      <c r="E47" s="94">
        <f>D47/D45*100</f>
        <v>0</v>
      </c>
      <c r="F47" s="94" t="e">
        <f t="shared" si="7"/>
        <v>#DIV/0!</v>
      </c>
      <c r="G47" s="94" t="e">
        <f t="shared" si="5"/>
        <v>#DIV/0!</v>
      </c>
      <c r="H47" s="92">
        <f t="shared" si="8"/>
        <v>0</v>
      </c>
      <c r="I47" s="92">
        <f t="shared" si="6"/>
        <v>0</v>
      </c>
      <c r="J47" s="151"/>
      <c r="K47" s="152"/>
    </row>
    <row r="48" spans="1:11" s="150" customFormat="1" ht="18">
      <c r="A48" s="90" t="s">
        <v>1</v>
      </c>
      <c r="B48" s="112">
        <v>10.8</v>
      </c>
      <c r="C48" s="113">
        <v>21.2</v>
      </c>
      <c r="D48" s="92">
        <v>8.3</v>
      </c>
      <c r="E48" s="94">
        <f>D48/D45*100</f>
        <v>0.5188148518564821</v>
      </c>
      <c r="F48" s="94">
        <f t="shared" si="7"/>
        <v>76.85185185185185</v>
      </c>
      <c r="G48" s="94">
        <f t="shared" si="5"/>
        <v>39.15094339622642</v>
      </c>
      <c r="H48" s="92">
        <f t="shared" si="8"/>
        <v>2.5</v>
      </c>
      <c r="I48" s="92">
        <f t="shared" si="6"/>
        <v>12.899999999999999</v>
      </c>
      <c r="J48" s="151"/>
      <c r="K48" s="152"/>
    </row>
    <row r="49" spans="1:11" s="150" customFormat="1" ht="18">
      <c r="A49" s="90" t="s">
        <v>0</v>
      </c>
      <c r="B49" s="112">
        <v>253.4</v>
      </c>
      <c r="C49" s="113">
        <v>372.5</v>
      </c>
      <c r="D49" s="92">
        <f>13.9+43.7+37.9</f>
        <v>95.5</v>
      </c>
      <c r="E49" s="94">
        <f>D49/D45*100</f>
        <v>5.969496187023378</v>
      </c>
      <c r="F49" s="94">
        <f t="shared" si="7"/>
        <v>37.68745067087608</v>
      </c>
      <c r="G49" s="94">
        <f t="shared" si="5"/>
        <v>25.63758389261745</v>
      </c>
      <c r="H49" s="92">
        <f t="shared" si="8"/>
        <v>157.9</v>
      </c>
      <c r="I49" s="92">
        <f t="shared" si="6"/>
        <v>277</v>
      </c>
      <c r="J49" s="151"/>
      <c r="K49" s="152"/>
    </row>
    <row r="50" spans="1:11" s="150" customFormat="1" ht="18.75" thickBot="1">
      <c r="A50" s="90" t="s">
        <v>27</v>
      </c>
      <c r="B50" s="113">
        <f>B45-B46-B49-B48-B47</f>
        <v>27.799999999999766</v>
      </c>
      <c r="C50" s="113">
        <f>C45-C46-C49-C48-C47</f>
        <v>44.399999999999906</v>
      </c>
      <c r="D50" s="113">
        <f>D45-D46-D49-D48-D47</f>
        <v>6.199999999999772</v>
      </c>
      <c r="E50" s="94">
        <f>D50/D45*100</f>
        <v>0.3875484435554302</v>
      </c>
      <c r="F50" s="94">
        <f t="shared" si="7"/>
        <v>22.302158273380662</v>
      </c>
      <c r="G50" s="94">
        <f t="shared" si="5"/>
        <v>13.96396396396348</v>
      </c>
      <c r="H50" s="92">
        <f t="shared" si="8"/>
        <v>21.599999999999994</v>
      </c>
      <c r="I50" s="92">
        <f t="shared" si="6"/>
        <v>38.20000000000013</v>
      </c>
      <c r="J50" s="151"/>
      <c r="K50" s="152"/>
    </row>
    <row r="51" spans="1:11" ht="18.75" thickBot="1">
      <c r="A51" s="16" t="s">
        <v>4</v>
      </c>
      <c r="B51" s="33">
        <v>6332.4</v>
      </c>
      <c r="C51" s="34">
        <v>9498.7</v>
      </c>
      <c r="D51" s="35">
        <f>721.7+145.3+5+112.8+1132.7+7.6+9.6+17.1+0.3+1056.5+185.3</f>
        <v>3393.9</v>
      </c>
      <c r="E51" s="3">
        <f>D51/D154*100</f>
        <v>1.7136962396538982</v>
      </c>
      <c r="F51" s="3">
        <f>D51/B51*100</f>
        <v>53.59579306424105</v>
      </c>
      <c r="G51" s="3">
        <f t="shared" si="5"/>
        <v>35.73015254719067</v>
      </c>
      <c r="H51" s="35">
        <f>B51-D51</f>
        <v>2938.4999999999995</v>
      </c>
      <c r="I51" s="35">
        <f t="shared" si="6"/>
        <v>6104.800000000001</v>
      </c>
      <c r="J51" s="151"/>
      <c r="K51" s="152"/>
    </row>
    <row r="52" spans="1:11" s="150" customFormat="1" ht="18">
      <c r="A52" s="90" t="s">
        <v>3</v>
      </c>
      <c r="B52" s="112">
        <v>3592.6</v>
      </c>
      <c r="C52" s="113">
        <v>5388.9</v>
      </c>
      <c r="D52" s="92">
        <f>721.7+980.4+865.2</f>
        <v>2567.3</v>
      </c>
      <c r="E52" s="94">
        <f>D52/D51*100</f>
        <v>75.64453873125314</v>
      </c>
      <c r="F52" s="94">
        <f t="shared" si="7"/>
        <v>71.4607804932361</v>
      </c>
      <c r="G52" s="94">
        <f t="shared" si="5"/>
        <v>47.640520328824074</v>
      </c>
      <c r="H52" s="92">
        <f t="shared" si="8"/>
        <v>1025.2999999999997</v>
      </c>
      <c r="I52" s="92">
        <f t="shared" si="6"/>
        <v>2821.5999999999995</v>
      </c>
      <c r="J52" s="151"/>
      <c r="K52" s="152"/>
    </row>
    <row r="53" spans="1:11" s="150" customFormat="1" ht="18" hidden="1">
      <c r="A53" s="90" t="s">
        <v>2</v>
      </c>
      <c r="B53" s="112"/>
      <c r="C53" s="113"/>
      <c r="D53" s="92"/>
      <c r="E53" s="94">
        <f>D53/D51*100</f>
        <v>0</v>
      </c>
      <c r="F53" s="94" t="e">
        <f>D53/B53*100</f>
        <v>#DIV/0!</v>
      </c>
      <c r="G53" s="94" t="e">
        <f t="shared" si="5"/>
        <v>#DIV/0!</v>
      </c>
      <c r="H53" s="92">
        <f t="shared" si="8"/>
        <v>0</v>
      </c>
      <c r="I53" s="92">
        <f t="shared" si="6"/>
        <v>0</v>
      </c>
      <c r="J53" s="151"/>
      <c r="K53" s="152"/>
    </row>
    <row r="54" spans="1:11" s="150" customFormat="1" ht="18">
      <c r="A54" s="90" t="s">
        <v>1</v>
      </c>
      <c r="B54" s="112">
        <v>179.1</v>
      </c>
      <c r="C54" s="113">
        <v>274.8</v>
      </c>
      <c r="D54" s="92">
        <f>3.2+7.6+9.6+11.4+10.1</f>
        <v>41.9</v>
      </c>
      <c r="E54" s="94">
        <f>D54/D51*100</f>
        <v>1.2345679012345678</v>
      </c>
      <c r="F54" s="94">
        <f t="shared" si="7"/>
        <v>23.394751535455054</v>
      </c>
      <c r="G54" s="94">
        <f t="shared" si="5"/>
        <v>15.247452692867538</v>
      </c>
      <c r="H54" s="92">
        <f t="shared" si="8"/>
        <v>137.2</v>
      </c>
      <c r="I54" s="92">
        <f t="shared" si="6"/>
        <v>232.9</v>
      </c>
      <c r="J54" s="151"/>
      <c r="K54" s="152"/>
    </row>
    <row r="55" spans="1:11" s="150" customFormat="1" ht="18">
      <c r="A55" s="90" t="s">
        <v>0</v>
      </c>
      <c r="B55" s="112">
        <v>338.7</v>
      </c>
      <c r="C55" s="113">
        <v>507.8</v>
      </c>
      <c r="D55" s="92">
        <f>0.3+1.2</f>
        <v>1.5</v>
      </c>
      <c r="E55" s="94">
        <f>D55/D51*100</f>
        <v>0.04419694157164324</v>
      </c>
      <c r="F55" s="94">
        <f t="shared" si="7"/>
        <v>0.44286979627989376</v>
      </c>
      <c r="G55" s="94">
        <f t="shared" si="5"/>
        <v>0.29539188656951554</v>
      </c>
      <c r="H55" s="92">
        <f t="shared" si="8"/>
        <v>337.2</v>
      </c>
      <c r="I55" s="92">
        <f t="shared" si="6"/>
        <v>506.3</v>
      </c>
      <c r="J55" s="151"/>
      <c r="K55" s="152"/>
    </row>
    <row r="56" spans="1:11" s="150" customFormat="1" ht="18">
      <c r="A56" s="90" t="s">
        <v>14</v>
      </c>
      <c r="B56" s="112">
        <v>580</v>
      </c>
      <c r="C56" s="113">
        <v>870</v>
      </c>
      <c r="D56" s="113"/>
      <c r="E56" s="94">
        <f>D56/D51*100</f>
        <v>0</v>
      </c>
      <c r="F56" s="94">
        <f>D56/B56*100</f>
        <v>0</v>
      </c>
      <c r="G56" s="94">
        <f>D56/C56*100</f>
        <v>0</v>
      </c>
      <c r="H56" s="92">
        <f t="shared" si="8"/>
        <v>580</v>
      </c>
      <c r="I56" s="92">
        <f t="shared" si="6"/>
        <v>870</v>
      </c>
      <c r="J56" s="151"/>
      <c r="K56" s="152"/>
    </row>
    <row r="57" spans="1:11" s="150" customFormat="1" ht="18.75" thickBot="1">
      <c r="A57" s="90" t="s">
        <v>27</v>
      </c>
      <c r="B57" s="113">
        <f>B51-B52-B55-B54-B53-B56</f>
        <v>1642</v>
      </c>
      <c r="C57" s="113">
        <f>C51-C52-C55-C54-C53-C56</f>
        <v>2457.2000000000007</v>
      </c>
      <c r="D57" s="113">
        <f>D51-D52-D55-D54-D53-D56</f>
        <v>783.1999999999999</v>
      </c>
      <c r="E57" s="94">
        <f>D57/D51*100</f>
        <v>23.076696425940654</v>
      </c>
      <c r="F57" s="94">
        <f t="shared" si="7"/>
        <v>47.6979293544458</v>
      </c>
      <c r="G57" s="94">
        <f t="shared" si="5"/>
        <v>31.87367735634054</v>
      </c>
      <c r="H57" s="92">
        <f>B57-D57</f>
        <v>858.8000000000001</v>
      </c>
      <c r="I57" s="92">
        <f>C57-D57</f>
        <v>1674.000000000001</v>
      </c>
      <c r="J57" s="151"/>
      <c r="K57" s="152"/>
    </row>
    <row r="58" spans="1:11" s="27" customFormat="1" ht="19.5" hidden="1" thickBot="1">
      <c r="A58" s="68" t="s">
        <v>62</v>
      </c>
      <c r="B58" s="66"/>
      <c r="C58" s="66"/>
      <c r="D58" s="66"/>
      <c r="E58" s="1"/>
      <c r="F58" s="67" t="e">
        <f t="shared" si="7"/>
        <v>#DIV/0!</v>
      </c>
      <c r="G58" s="67" t="e">
        <f t="shared" si="5"/>
        <v>#DIV/0!</v>
      </c>
      <c r="H58" s="71">
        <f t="shared" si="8"/>
        <v>0</v>
      </c>
      <c r="I58" s="71">
        <f>C58-D58</f>
        <v>0</v>
      </c>
      <c r="J58" s="146"/>
      <c r="K58" s="152">
        <f>C58-B58</f>
        <v>0</v>
      </c>
    </row>
    <row r="59" spans="1:11" ht="18.75" thickBot="1">
      <c r="A59" s="16" t="s">
        <v>6</v>
      </c>
      <c r="B59" s="33">
        <v>1506.1</v>
      </c>
      <c r="C59" s="34">
        <v>2261.1</v>
      </c>
      <c r="D59" s="35">
        <f>80.6+106+88.7+4.1+0.3+50.7+49.2</f>
        <v>379.6</v>
      </c>
      <c r="E59" s="3">
        <f>D59/D154*100</f>
        <v>0.19167302883780304</v>
      </c>
      <c r="F59" s="3">
        <f>D59/B59*100</f>
        <v>25.204169709846624</v>
      </c>
      <c r="G59" s="3">
        <f t="shared" si="5"/>
        <v>16.78828888594047</v>
      </c>
      <c r="H59" s="35">
        <f>B59-D59</f>
        <v>1126.5</v>
      </c>
      <c r="I59" s="35">
        <f t="shared" si="6"/>
        <v>1881.5</v>
      </c>
      <c r="J59" s="151"/>
      <c r="K59" s="152"/>
    </row>
    <row r="60" spans="1:11" s="150" customFormat="1" ht="18">
      <c r="A60" s="90" t="s">
        <v>3</v>
      </c>
      <c r="B60" s="112">
        <v>625.3</v>
      </c>
      <c r="C60" s="113">
        <v>936.2</v>
      </c>
      <c r="D60" s="92">
        <f>80.6+106+88.7+4.1+50.7+38.1</f>
        <v>368.20000000000005</v>
      </c>
      <c r="E60" s="94">
        <f>D60/D59*100</f>
        <v>96.9968387776607</v>
      </c>
      <c r="F60" s="94">
        <f t="shared" si="7"/>
        <v>58.883735806812744</v>
      </c>
      <c r="G60" s="94">
        <f t="shared" si="5"/>
        <v>39.32920316171759</v>
      </c>
      <c r="H60" s="92">
        <f t="shared" si="8"/>
        <v>257.0999999999999</v>
      </c>
      <c r="I60" s="92">
        <f t="shared" si="6"/>
        <v>568</v>
      </c>
      <c r="J60" s="151"/>
      <c r="K60" s="152"/>
    </row>
    <row r="61" spans="1:11" s="150" customFormat="1" ht="18" hidden="1">
      <c r="A61" s="90" t="s">
        <v>1</v>
      </c>
      <c r="B61" s="112"/>
      <c r="C61" s="113"/>
      <c r="D61" s="92"/>
      <c r="E61" s="94">
        <f>D61/D59*100</f>
        <v>0</v>
      </c>
      <c r="F61" s="94" t="e">
        <f>D61/B61*100</f>
        <v>#DIV/0!</v>
      </c>
      <c r="G61" s="94" t="e">
        <f t="shared" si="5"/>
        <v>#DIV/0!</v>
      </c>
      <c r="H61" s="92">
        <f t="shared" si="8"/>
        <v>0</v>
      </c>
      <c r="I61" s="92">
        <f t="shared" si="6"/>
        <v>0</v>
      </c>
      <c r="J61" s="151"/>
      <c r="K61" s="152"/>
    </row>
    <row r="62" spans="1:11" s="150" customFormat="1" ht="18">
      <c r="A62" s="90" t="s">
        <v>0</v>
      </c>
      <c r="B62" s="112">
        <v>232.9</v>
      </c>
      <c r="C62" s="113">
        <v>351.7</v>
      </c>
      <c r="D62" s="92">
        <v>9.6</v>
      </c>
      <c r="E62" s="94">
        <f>D62/D59*100</f>
        <v>2.5289778714436246</v>
      </c>
      <c r="F62" s="94">
        <f t="shared" si="7"/>
        <v>4.12194074710176</v>
      </c>
      <c r="G62" s="94">
        <f t="shared" si="5"/>
        <v>2.7295990901336364</v>
      </c>
      <c r="H62" s="92">
        <f t="shared" si="8"/>
        <v>223.3</v>
      </c>
      <c r="I62" s="92">
        <f t="shared" si="6"/>
        <v>342.09999999999997</v>
      </c>
      <c r="J62" s="151"/>
      <c r="K62" s="152"/>
    </row>
    <row r="63" spans="1:11" s="150" customFormat="1" ht="18" hidden="1">
      <c r="A63" s="90" t="s">
        <v>14</v>
      </c>
      <c r="B63" s="112"/>
      <c r="C63" s="113"/>
      <c r="D63" s="92"/>
      <c r="E63" s="94">
        <f>D63/D59*100</f>
        <v>0</v>
      </c>
      <c r="F63" s="94" t="e">
        <f t="shared" si="7"/>
        <v>#DIV/0!</v>
      </c>
      <c r="G63" s="94" t="e">
        <f t="shared" si="5"/>
        <v>#DIV/0!</v>
      </c>
      <c r="H63" s="92">
        <f t="shared" si="8"/>
        <v>0</v>
      </c>
      <c r="I63" s="92">
        <f t="shared" si="6"/>
        <v>0</v>
      </c>
      <c r="J63" s="151"/>
      <c r="K63" s="152"/>
    </row>
    <row r="64" spans="1:11" s="150" customFormat="1" ht="18.75" thickBot="1">
      <c r="A64" s="90" t="s">
        <v>27</v>
      </c>
      <c r="B64" s="113">
        <f>B59-B60-B62-B63-B61</f>
        <v>647.9</v>
      </c>
      <c r="C64" s="113">
        <f>C59-C60-C62-C63-C61</f>
        <v>973.1999999999998</v>
      </c>
      <c r="D64" s="113">
        <f>D59-D60-D62-D63-D61</f>
        <v>1.7999999999999776</v>
      </c>
      <c r="E64" s="94">
        <f>D64/D59*100</f>
        <v>0.4741833508956737</v>
      </c>
      <c r="F64" s="94">
        <f t="shared" si="7"/>
        <v>0.2778206513350791</v>
      </c>
      <c r="G64" s="94">
        <f t="shared" si="5"/>
        <v>0.18495684340320365</v>
      </c>
      <c r="H64" s="92">
        <f t="shared" si="8"/>
        <v>646.1</v>
      </c>
      <c r="I64" s="92">
        <f t="shared" si="6"/>
        <v>971.3999999999999</v>
      </c>
      <c r="J64" s="151"/>
      <c r="K64" s="152"/>
    </row>
    <row r="65" spans="1:11" s="27" customFormat="1" ht="19.5" hidden="1" thickBot="1">
      <c r="A65" s="68" t="s">
        <v>73</v>
      </c>
      <c r="B65" s="66"/>
      <c r="C65" s="66"/>
      <c r="D65" s="66"/>
      <c r="E65" s="67"/>
      <c r="F65" s="67" t="e">
        <f>D65/B65*100</f>
        <v>#DIV/0!</v>
      </c>
      <c r="G65" s="67" t="e">
        <f>D65/C65*100</f>
        <v>#DIV/0!</v>
      </c>
      <c r="H65" s="71">
        <f t="shared" si="8"/>
        <v>0</v>
      </c>
      <c r="I65" s="71">
        <f t="shared" si="6"/>
        <v>0</v>
      </c>
      <c r="J65" s="146"/>
      <c r="K65" s="152">
        <f>C65-B65</f>
        <v>0</v>
      </c>
    </row>
    <row r="66" spans="1:11" s="27" customFormat="1" ht="19.5" hidden="1" thickBot="1">
      <c r="A66" s="68" t="s">
        <v>59</v>
      </c>
      <c r="B66" s="66"/>
      <c r="C66" s="66"/>
      <c r="D66" s="66"/>
      <c r="E66" s="67"/>
      <c r="F66" s="67" t="e">
        <f t="shared" si="7"/>
        <v>#DIV/0!</v>
      </c>
      <c r="G66" s="67" t="e">
        <f t="shared" si="5"/>
        <v>#DIV/0!</v>
      </c>
      <c r="H66" s="71">
        <f t="shared" si="8"/>
        <v>0</v>
      </c>
      <c r="I66" s="71">
        <f t="shared" si="6"/>
        <v>0</v>
      </c>
      <c r="J66" s="146"/>
      <c r="K66" s="152">
        <f>C66-B66</f>
        <v>0</v>
      </c>
    </row>
    <row r="67" spans="1:11" s="27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146"/>
      <c r="K67" s="152">
        <f>C67-B67</f>
        <v>0</v>
      </c>
    </row>
    <row r="68" spans="1:11" s="27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146"/>
      <c r="K68" s="152">
        <f>C68-B68</f>
        <v>0</v>
      </c>
    </row>
    <row r="69" spans="1:11" ht="18.75" thickBot="1">
      <c r="A69" s="16" t="s">
        <v>20</v>
      </c>
      <c r="B69" s="34">
        <f>B70+B71</f>
        <v>61.5</v>
      </c>
      <c r="C69" s="34">
        <f>C70+C71</f>
        <v>92.1</v>
      </c>
      <c r="D69" s="35">
        <f>D70+D71</f>
        <v>0</v>
      </c>
      <c r="E69" s="25">
        <f>D69/D154*100</f>
        <v>0</v>
      </c>
      <c r="F69" s="3">
        <f>D69/B69*100</f>
        <v>0</v>
      </c>
      <c r="G69" s="3">
        <f t="shared" si="5"/>
        <v>0</v>
      </c>
      <c r="H69" s="35">
        <f>B69-D69</f>
        <v>61.5</v>
      </c>
      <c r="I69" s="35">
        <f t="shared" si="6"/>
        <v>92.1</v>
      </c>
      <c r="J69" s="151"/>
      <c r="K69" s="152"/>
    </row>
    <row r="70" spans="1:11" s="150" customFormat="1" ht="18">
      <c r="A70" s="90" t="s">
        <v>8</v>
      </c>
      <c r="B70" s="112">
        <v>36.6</v>
      </c>
      <c r="C70" s="113">
        <v>54.8</v>
      </c>
      <c r="D70" s="92"/>
      <c r="E70" s="94" t="e">
        <f>D70/D69*100</f>
        <v>#DIV/0!</v>
      </c>
      <c r="F70" s="94">
        <f t="shared" si="7"/>
        <v>0</v>
      </c>
      <c r="G70" s="94">
        <f t="shared" si="5"/>
        <v>0</v>
      </c>
      <c r="H70" s="92">
        <f t="shared" si="8"/>
        <v>36.6</v>
      </c>
      <c r="I70" s="92">
        <f t="shared" si="6"/>
        <v>54.8</v>
      </c>
      <c r="J70" s="151"/>
      <c r="K70" s="152"/>
    </row>
    <row r="71" spans="1:11" s="150" customFormat="1" ht="18.75" thickBot="1">
      <c r="A71" s="90" t="s">
        <v>9</v>
      </c>
      <c r="B71" s="112">
        <v>24.9</v>
      </c>
      <c r="C71" s="113">
        <v>37.3</v>
      </c>
      <c r="D71" s="92"/>
      <c r="E71" s="94" t="e">
        <f>D71/D70*100</f>
        <v>#DIV/0!</v>
      </c>
      <c r="F71" s="94">
        <f t="shared" si="7"/>
        <v>0</v>
      </c>
      <c r="G71" s="94">
        <f t="shared" si="5"/>
        <v>0</v>
      </c>
      <c r="H71" s="92">
        <f t="shared" si="8"/>
        <v>24.9</v>
      </c>
      <c r="I71" s="92">
        <f t="shared" si="6"/>
        <v>37.3</v>
      </c>
      <c r="J71" s="151"/>
      <c r="K71" s="152"/>
    </row>
    <row r="72" spans="1:11" ht="38.25" hidden="1" thickBot="1">
      <c r="A72" s="9" t="s">
        <v>38</v>
      </c>
      <c r="B72" s="40"/>
      <c r="C72" s="34">
        <f>C73+C74+C75+C76</f>
        <v>0</v>
      </c>
      <c r="D72" s="34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5">
        <f>B72-D72</f>
        <v>0</v>
      </c>
      <c r="I72" s="35">
        <f t="shared" si="6"/>
        <v>0</v>
      </c>
      <c r="J72" s="151"/>
      <c r="K72" s="152"/>
    </row>
    <row r="73" spans="1:11" ht="19.5" hidden="1" thickBot="1">
      <c r="A73" s="13" t="s">
        <v>42</v>
      </c>
      <c r="B73" s="38"/>
      <c r="C73" s="44"/>
      <c r="D73" s="36"/>
      <c r="E73" s="22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2">
        <f t="shared" si="8"/>
        <v>0</v>
      </c>
      <c r="I73" s="32">
        <f t="shared" si="6"/>
        <v>0</v>
      </c>
      <c r="J73" s="151"/>
      <c r="K73" s="152"/>
    </row>
    <row r="74" spans="1:11" ht="19.5" hidden="1" thickBot="1">
      <c r="A74" s="13" t="s">
        <v>43</v>
      </c>
      <c r="B74" s="38"/>
      <c r="C74" s="44"/>
      <c r="D74" s="36"/>
      <c r="E74" s="22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2">
        <f t="shared" si="8"/>
        <v>0</v>
      </c>
      <c r="I74" s="32">
        <f t="shared" si="6"/>
        <v>0</v>
      </c>
      <c r="J74" s="151"/>
      <c r="K74" s="152"/>
    </row>
    <row r="75" spans="1:11" ht="19.5" hidden="1" thickBot="1">
      <c r="A75" s="18" t="s">
        <v>31</v>
      </c>
      <c r="B75" s="45"/>
      <c r="C75" s="46"/>
      <c r="D75" s="47"/>
      <c r="E75" s="22" t="e">
        <f>D75/D72*100</f>
        <v>#DIV/0!</v>
      </c>
      <c r="F75" s="22"/>
      <c r="G75" s="1" t="e">
        <f t="shared" si="5"/>
        <v>#DIV/0!</v>
      </c>
      <c r="H75" s="32"/>
      <c r="I75" s="32">
        <f t="shared" si="6"/>
        <v>0</v>
      </c>
      <c r="J75" s="151"/>
      <c r="K75" s="152"/>
    </row>
    <row r="76" spans="1:11" ht="19.5" hidden="1" thickBot="1">
      <c r="A76" s="18" t="s">
        <v>39</v>
      </c>
      <c r="B76" s="45"/>
      <c r="C76" s="46"/>
      <c r="D76" s="47"/>
      <c r="E76" s="22" t="e">
        <f>D76/D72*100</f>
        <v>#DIV/0!</v>
      </c>
      <c r="F76" s="22"/>
      <c r="G76" s="1" t="e">
        <f t="shared" si="5"/>
        <v>#DIV/0!</v>
      </c>
      <c r="H76" s="32"/>
      <c r="I76" s="32">
        <f t="shared" si="6"/>
        <v>0</v>
      </c>
      <c r="J76" s="151"/>
      <c r="K76" s="152"/>
    </row>
    <row r="77" spans="1:11" s="27" customFormat="1" ht="19.5" thickBot="1">
      <c r="A77" s="19" t="s">
        <v>13</v>
      </c>
      <c r="B77" s="41">
        <v>416.3</v>
      </c>
      <c r="C77" s="48">
        <v>625</v>
      </c>
      <c r="D77" s="49"/>
      <c r="E77" s="29"/>
      <c r="F77" s="29"/>
      <c r="G77" s="29"/>
      <c r="H77" s="49">
        <f>B77-D77</f>
        <v>416.3</v>
      </c>
      <c r="I77" s="49">
        <f t="shared" si="6"/>
        <v>625</v>
      </c>
      <c r="J77" s="146"/>
      <c r="K77" s="152"/>
    </row>
    <row r="78" spans="1:11" ht="8.25" customHeight="1" thickBot="1">
      <c r="A78" s="13"/>
      <c r="B78" s="38"/>
      <c r="C78" s="46"/>
      <c r="D78" s="47"/>
      <c r="E78" s="4"/>
      <c r="F78" s="4"/>
      <c r="G78" s="4"/>
      <c r="H78" s="47"/>
      <c r="I78" s="153"/>
      <c r="J78" s="151"/>
      <c r="K78" s="152"/>
    </row>
    <row r="79" spans="1:11" ht="18.75" customHeight="1" hidden="1" thickBot="1">
      <c r="A79" s="9" t="s">
        <v>53</v>
      </c>
      <c r="B79" s="40"/>
      <c r="C79" s="34"/>
      <c r="D79" s="34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5">
        <f>B79-D79</f>
        <v>0</v>
      </c>
      <c r="I79" s="35">
        <f aca="true" t="shared" si="10" ref="I79:I93">C79-D79</f>
        <v>0</v>
      </c>
      <c r="J79" s="151"/>
      <c r="K79" s="152"/>
    </row>
    <row r="80" spans="1:11" s="6" customFormat="1" ht="18.75" hidden="1" thickBot="1">
      <c r="A80" s="7" t="s">
        <v>52</v>
      </c>
      <c r="B80" s="50"/>
      <c r="C80" s="31"/>
      <c r="D80" s="32"/>
      <c r="E80" s="65"/>
      <c r="F80" s="1" t="e">
        <f>D80/B80*100</f>
        <v>#DIV/0!</v>
      </c>
      <c r="G80" s="1" t="e">
        <f t="shared" si="9"/>
        <v>#DIV/0!</v>
      </c>
      <c r="H80" s="32">
        <f>B80-D80</f>
        <v>0</v>
      </c>
      <c r="I80" s="32">
        <f t="shared" si="10"/>
        <v>0</v>
      </c>
      <c r="J80" s="147"/>
      <c r="K80" s="152"/>
    </row>
    <row r="81" spans="1:11" s="6" customFormat="1" ht="31.5" hidden="1" thickBot="1">
      <c r="A81" s="7" t="s">
        <v>50</v>
      </c>
      <c r="B81" s="50"/>
      <c r="C81" s="31"/>
      <c r="D81" s="32"/>
      <c r="E81" s="65"/>
      <c r="F81" s="1" t="e">
        <f>D81/B81*100</f>
        <v>#DIV/0!</v>
      </c>
      <c r="G81" s="1" t="e">
        <f t="shared" si="9"/>
        <v>#DIV/0!</v>
      </c>
      <c r="H81" s="32">
        <f>B81-D81</f>
        <v>0</v>
      </c>
      <c r="I81" s="32">
        <f t="shared" si="10"/>
        <v>0</v>
      </c>
      <c r="J81" s="147"/>
      <c r="K81" s="152"/>
    </row>
    <row r="82" spans="1:11" s="6" customFormat="1" ht="16.5" customHeight="1" hidden="1">
      <c r="A82" s="7" t="s">
        <v>30</v>
      </c>
      <c r="B82" s="50"/>
      <c r="C82" s="31"/>
      <c r="D82" s="32"/>
      <c r="E82" s="1" t="e">
        <f>D82/D79*100</f>
        <v>#DIV/0!</v>
      </c>
      <c r="F82" s="1"/>
      <c r="G82" s="1" t="e">
        <f t="shared" si="9"/>
        <v>#DIV/0!</v>
      </c>
      <c r="H82" s="32"/>
      <c r="I82" s="32">
        <f t="shared" si="10"/>
        <v>0</v>
      </c>
      <c r="J82" s="147"/>
      <c r="K82" s="152"/>
    </row>
    <row r="83" spans="1:11" s="6" customFormat="1" ht="33" customHeight="1" hidden="1" thickBot="1">
      <c r="A83" s="7" t="s">
        <v>36</v>
      </c>
      <c r="B83" s="50"/>
      <c r="C83" s="31"/>
      <c r="D83" s="31"/>
      <c r="E83" s="1" t="e">
        <f>D83/D79*100</f>
        <v>#DIV/0!</v>
      </c>
      <c r="F83" s="1"/>
      <c r="G83" s="1" t="e">
        <f t="shared" si="9"/>
        <v>#DIV/0!</v>
      </c>
      <c r="H83" s="32"/>
      <c r="I83" s="32">
        <f t="shared" si="10"/>
        <v>0</v>
      </c>
      <c r="J83" s="147"/>
      <c r="K83" s="152"/>
    </row>
    <row r="84" spans="1:11" ht="35.25" customHeight="1" hidden="1" thickBot="1">
      <c r="A84" s="9" t="s">
        <v>32</v>
      </c>
      <c r="B84" s="40"/>
      <c r="C84" s="34"/>
      <c r="D84" s="34"/>
      <c r="E84" s="3">
        <f>D84/D154*100</f>
        <v>0</v>
      </c>
      <c r="F84" s="3"/>
      <c r="G84" s="3" t="e">
        <f t="shared" si="9"/>
        <v>#DIV/0!</v>
      </c>
      <c r="H84" s="35"/>
      <c r="I84" s="35">
        <f t="shared" si="10"/>
        <v>0</v>
      </c>
      <c r="J84" s="151"/>
      <c r="K84" s="152"/>
    </row>
    <row r="85" spans="1:11" ht="16.5" customHeight="1" hidden="1">
      <c r="A85" s="17" t="s">
        <v>23</v>
      </c>
      <c r="B85" s="30"/>
      <c r="C85" s="46"/>
      <c r="D85" s="46"/>
      <c r="E85" s="4" t="e">
        <f>D85/D84*100</f>
        <v>#DIV/0!</v>
      </c>
      <c r="F85" s="4"/>
      <c r="G85" s="4" t="e">
        <f t="shared" si="9"/>
        <v>#DIV/0!</v>
      </c>
      <c r="H85" s="47"/>
      <c r="I85" s="32">
        <f t="shared" si="10"/>
        <v>0</v>
      </c>
      <c r="J85" s="151"/>
      <c r="K85" s="152"/>
    </row>
    <row r="86" spans="1:11" ht="16.5" customHeight="1" hidden="1" thickBot="1">
      <c r="A86" s="17" t="s">
        <v>24</v>
      </c>
      <c r="B86" s="30"/>
      <c r="C86" s="46"/>
      <c r="D86" s="46"/>
      <c r="E86" s="4" t="e">
        <f>D86/D84*100</f>
        <v>#DIV/0!</v>
      </c>
      <c r="F86" s="4"/>
      <c r="G86" s="4" t="e">
        <f t="shared" si="9"/>
        <v>#DIV/0!</v>
      </c>
      <c r="H86" s="47"/>
      <c r="I86" s="32">
        <f t="shared" si="10"/>
        <v>0</v>
      </c>
      <c r="J86" s="151"/>
      <c r="K86" s="152"/>
    </row>
    <row r="87" spans="1:11" ht="34.5" customHeight="1" hidden="1" thickBot="1">
      <c r="A87" s="9" t="s">
        <v>33</v>
      </c>
      <c r="B87" s="40"/>
      <c r="C87" s="34"/>
      <c r="D87" s="34"/>
      <c r="E87" s="3">
        <f>D87/D154*100</f>
        <v>0</v>
      </c>
      <c r="F87" s="3"/>
      <c r="G87" s="3" t="e">
        <f t="shared" si="9"/>
        <v>#DIV/0!</v>
      </c>
      <c r="H87" s="35"/>
      <c r="I87" s="35">
        <f t="shared" si="10"/>
        <v>0</v>
      </c>
      <c r="J87" s="151"/>
      <c r="K87" s="152"/>
    </row>
    <row r="88" spans="1:11" ht="17.25" customHeight="1" hidden="1">
      <c r="A88" s="17" t="s">
        <v>23</v>
      </c>
      <c r="B88" s="30"/>
      <c r="C88" s="31"/>
      <c r="D88" s="32"/>
      <c r="E88" s="1" t="e">
        <f>D88/D87*100</f>
        <v>#DIV/0!</v>
      </c>
      <c r="F88" s="1"/>
      <c r="G88" s="1" t="e">
        <f t="shared" si="9"/>
        <v>#DIV/0!</v>
      </c>
      <c r="H88" s="32"/>
      <c r="I88" s="32">
        <f t="shared" si="10"/>
        <v>0</v>
      </c>
      <c r="J88" s="151"/>
      <c r="K88" s="152"/>
    </row>
    <row r="89" spans="1:11" ht="17.25" customHeight="1" hidden="1" thickBot="1">
      <c r="A89" s="17" t="s">
        <v>24</v>
      </c>
      <c r="B89" s="30"/>
      <c r="C89" s="31"/>
      <c r="D89" s="32"/>
      <c r="E89" s="1" t="e">
        <f>D89/D87*100</f>
        <v>#DIV/0!</v>
      </c>
      <c r="F89" s="1"/>
      <c r="G89" s="1" t="e">
        <f t="shared" si="9"/>
        <v>#DIV/0!</v>
      </c>
      <c r="H89" s="32"/>
      <c r="I89" s="32">
        <f t="shared" si="10"/>
        <v>0</v>
      </c>
      <c r="J89" s="151"/>
      <c r="K89" s="152"/>
    </row>
    <row r="90" spans="1:11" ht="19.5" thickBot="1">
      <c r="A90" s="9" t="s">
        <v>10</v>
      </c>
      <c r="B90" s="40">
        <v>34495</v>
      </c>
      <c r="C90" s="34">
        <v>51742.5</v>
      </c>
      <c r="D90" s="35">
        <f>244+43.9+2457.4+2707.4+10.4+33.4+0.3+26.7+297+18.1+13+3+6.2+490.1+6379.1-0.1+2560.6+73.2+32.7+207.4+162.1+3.7+587.9+1178+3844.7+1728.3+5.1</f>
        <v>23113.6</v>
      </c>
      <c r="E90" s="3">
        <f>D90/D154*100</f>
        <v>11.670847521984836</v>
      </c>
      <c r="F90" s="3">
        <f aca="true" t="shared" si="11" ref="F90:F96">D90/B90*100</f>
        <v>67.00565299318741</v>
      </c>
      <c r="G90" s="3">
        <f t="shared" si="9"/>
        <v>44.670435328791605</v>
      </c>
      <c r="H90" s="35">
        <f aca="true" t="shared" si="12" ref="H90:H96">B90-D90</f>
        <v>11381.400000000001</v>
      </c>
      <c r="I90" s="35">
        <f t="shared" si="10"/>
        <v>28628.9</v>
      </c>
      <c r="J90" s="151"/>
      <c r="K90" s="152"/>
    </row>
    <row r="91" spans="1:11" s="150" customFormat="1" ht="21.75" customHeight="1">
      <c r="A91" s="90" t="s">
        <v>3</v>
      </c>
      <c r="B91" s="112">
        <v>32409</v>
      </c>
      <c r="C91" s="113">
        <v>48629.1</v>
      </c>
      <c r="D91" s="149">
        <f>244+2447.7+2707.4+7.9+32.8+292+16+4.4+487.2+6367.9-0.1+2554.5+39.8+0.3+122+1.4+575.3+1176+3828+1657.6</f>
        <v>22562.099999999995</v>
      </c>
      <c r="E91" s="94">
        <f>D91/D90*100</f>
        <v>97.61395888135122</v>
      </c>
      <c r="F91" s="94">
        <f t="shared" si="11"/>
        <v>69.61677311857815</v>
      </c>
      <c r="G91" s="94">
        <f t="shared" si="9"/>
        <v>46.39629357730247</v>
      </c>
      <c r="H91" s="92">
        <f t="shared" si="12"/>
        <v>9846.900000000005</v>
      </c>
      <c r="I91" s="92">
        <f t="shared" si="10"/>
        <v>26067.000000000004</v>
      </c>
      <c r="K91" s="152"/>
    </row>
    <row r="92" spans="1:11" s="150" customFormat="1" ht="18">
      <c r="A92" s="90" t="s">
        <v>25</v>
      </c>
      <c r="B92" s="112">
        <f>805.3+10.6</f>
        <v>815.9</v>
      </c>
      <c r="C92" s="113">
        <f>1178+10.6</f>
        <v>1188.6</v>
      </c>
      <c r="D92" s="92">
        <f>56.2+5.4</f>
        <v>61.6</v>
      </c>
      <c r="E92" s="94">
        <f>D92/D90*100</f>
        <v>0.26650976048733216</v>
      </c>
      <c r="F92" s="94">
        <f t="shared" si="11"/>
        <v>7.54994484618213</v>
      </c>
      <c r="G92" s="94">
        <f t="shared" si="9"/>
        <v>5.1825677267373385</v>
      </c>
      <c r="H92" s="92">
        <f t="shared" si="12"/>
        <v>754.3</v>
      </c>
      <c r="I92" s="92">
        <f t="shared" si="10"/>
        <v>1127</v>
      </c>
      <c r="K92" s="152"/>
    </row>
    <row r="93" spans="1:11" s="150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0" t="s">
        <v>27</v>
      </c>
      <c r="B94" s="113">
        <f>B90-B91-B92-B93</f>
        <v>1270.1</v>
      </c>
      <c r="C94" s="113">
        <f>C90-C91-C92-C93</f>
        <v>1924.8000000000015</v>
      </c>
      <c r="D94" s="113">
        <f>D90-D91-D92-D93</f>
        <v>489.9000000000036</v>
      </c>
      <c r="E94" s="94">
        <f>D94/D90*100</f>
        <v>2.1195313581614443</v>
      </c>
      <c r="F94" s="94">
        <f t="shared" si="11"/>
        <v>38.57176600267724</v>
      </c>
      <c r="G94" s="94">
        <f>D94/C94*100</f>
        <v>25.451995012469</v>
      </c>
      <c r="H94" s="92">
        <f t="shared" si="12"/>
        <v>780.1999999999963</v>
      </c>
      <c r="I94" s="92">
        <f>C94-D94</f>
        <v>1434.8999999999978</v>
      </c>
      <c r="K94" s="152"/>
    </row>
    <row r="95" spans="1:11" ht="18.75">
      <c r="A95" s="74" t="s">
        <v>12</v>
      </c>
      <c r="B95" s="82">
        <f>11002.5-173.7-321.7</f>
        <v>10507.099999999999</v>
      </c>
      <c r="C95" s="77">
        <v>16795.4</v>
      </c>
      <c r="D95" s="76">
        <f>550.6+16+384.3+525.5+369.8+2.6+13.2+66.6+29.8+815.4+66.6+46.7</f>
        <v>2887.0999999999995</v>
      </c>
      <c r="E95" s="73">
        <f>D95/D154*100</f>
        <v>1.457795578392047</v>
      </c>
      <c r="F95" s="75">
        <f t="shared" si="11"/>
        <v>27.477610377744572</v>
      </c>
      <c r="G95" s="72">
        <f>D95/C95*100</f>
        <v>17.189825785631776</v>
      </c>
      <c r="H95" s="76">
        <f t="shared" si="12"/>
        <v>7619.999999999999</v>
      </c>
      <c r="I95" s="78">
        <f>C95-D95</f>
        <v>13908.300000000003</v>
      </c>
      <c r="J95" s="151"/>
      <c r="K95" s="152"/>
    </row>
    <row r="96" spans="1:11" s="150" customFormat="1" ht="18.75" thickBot="1">
      <c r="A96" s="115" t="s">
        <v>80</v>
      </c>
      <c r="B96" s="116">
        <f>2580-18</f>
        <v>2562</v>
      </c>
      <c r="C96" s="117">
        <f>3870-18</f>
        <v>3852</v>
      </c>
      <c r="D96" s="118">
        <f>101+2.6</f>
        <v>103.6</v>
      </c>
      <c r="E96" s="119">
        <f>D96/D95*100</f>
        <v>3.588375878909633</v>
      </c>
      <c r="F96" s="120">
        <f t="shared" si="11"/>
        <v>4.043715846994536</v>
      </c>
      <c r="G96" s="121">
        <f>D96/C96*100</f>
        <v>2.6895119418483904</v>
      </c>
      <c r="H96" s="122">
        <f t="shared" si="12"/>
        <v>2458.4</v>
      </c>
      <c r="I96" s="111">
        <f>C96-D96</f>
        <v>3748.4</v>
      </c>
      <c r="J96" s="151"/>
      <c r="K96" s="152"/>
    </row>
    <row r="97" spans="1:11" ht="8.25" customHeight="1" thickBot="1">
      <c r="A97" s="13"/>
      <c r="B97" s="38"/>
      <c r="C97" s="46"/>
      <c r="D97" s="47"/>
      <c r="E97" s="4"/>
      <c r="F97" s="4"/>
      <c r="G97" s="4"/>
      <c r="H97" s="47"/>
      <c r="I97" s="47"/>
      <c r="J97" s="151"/>
      <c r="K97" s="152"/>
    </row>
    <row r="98" spans="1:11" ht="19.5" hidden="1" thickBot="1">
      <c r="A98" s="21" t="s">
        <v>34</v>
      </c>
      <c r="B98" s="54"/>
      <c r="C98" s="55"/>
      <c r="D98" s="56"/>
      <c r="E98" s="3">
        <f>D98/D154*100</f>
        <v>0</v>
      </c>
      <c r="F98" s="3"/>
      <c r="G98" s="3" t="e">
        <f>D98/C98*100</f>
        <v>#DIV/0!</v>
      </c>
      <c r="H98" s="35"/>
      <c r="I98" s="35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0"/>
      <c r="B99" s="51"/>
      <c r="C99" s="52"/>
      <c r="D99" s="53"/>
      <c r="E99" s="10"/>
      <c r="F99" s="4"/>
      <c r="G99" s="4"/>
      <c r="H99" s="47"/>
      <c r="I99" s="153"/>
      <c r="J99" s="151"/>
      <c r="K99" s="152">
        <f t="shared" si="13"/>
        <v>0</v>
      </c>
    </row>
    <row r="100" spans="1:11" s="11" customFormat="1" ht="36" customHeight="1" hidden="1" thickBot="1">
      <c r="A100" s="9" t="s">
        <v>48</v>
      </c>
      <c r="B100" s="40"/>
      <c r="C100" s="34"/>
      <c r="D100" s="35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5">
        <f>B100-D100</f>
        <v>0</v>
      </c>
      <c r="I100" s="35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2"/>
      <c r="D101" s="53"/>
      <c r="E101" s="10"/>
      <c r="F101" s="4"/>
      <c r="G101" s="4"/>
      <c r="H101" s="47"/>
      <c r="I101" s="153"/>
      <c r="J101" s="151"/>
      <c r="K101" s="152">
        <f t="shared" si="13"/>
        <v>0</v>
      </c>
    </row>
    <row r="102" spans="1:11" s="27" customFormat="1" ht="19.5" thickBot="1">
      <c r="A102" s="9" t="s">
        <v>11</v>
      </c>
      <c r="B102" s="81">
        <v>9534.1</v>
      </c>
      <c r="C102" s="64">
        <v>14299.2</v>
      </c>
      <c r="D102" s="60">
        <f>152.2+12.4+164.7+14+1585.4+13.1+10.2+18+148.6+2141.8+73.9</f>
        <v>4334.299999999999</v>
      </c>
      <c r="E102" s="14">
        <f>D102/D154*100</f>
        <v>2.188536377480742</v>
      </c>
      <c r="F102" s="14">
        <f>D102/B102*100</f>
        <v>45.46102935777891</v>
      </c>
      <c r="G102" s="14">
        <f aca="true" t="shared" si="14" ref="G102:G152">D102/C102*100</f>
        <v>30.311485957256345</v>
      </c>
      <c r="H102" s="60">
        <f aca="true" t="shared" si="15" ref="H102:H152">B102-D102</f>
        <v>5199.800000000001</v>
      </c>
      <c r="I102" s="60">
        <f aca="true" t="shared" si="16" ref="I102:I152">C102-D102</f>
        <v>9964.900000000001</v>
      </c>
      <c r="J102" s="146"/>
      <c r="K102" s="152"/>
    </row>
    <row r="103" spans="1:11" s="150" customFormat="1" ht="18.75" customHeight="1" hidden="1">
      <c r="A103" s="90" t="s">
        <v>3</v>
      </c>
      <c r="B103" s="104"/>
      <c r="C103" s="105"/>
      <c r="D103" s="105"/>
      <c r="E103" s="106">
        <f>D103/D102*100</f>
        <v>0</v>
      </c>
      <c r="F103" s="94" t="e">
        <f>D103/B103*100</f>
        <v>#DIV/0!</v>
      </c>
      <c r="G103" s="106" t="e">
        <f>D103/C103*100</f>
        <v>#DIV/0!</v>
      </c>
      <c r="H103" s="105">
        <f t="shared" si="15"/>
        <v>0</v>
      </c>
      <c r="I103" s="105">
        <f t="shared" si="16"/>
        <v>0</v>
      </c>
      <c r="J103" s="151"/>
      <c r="K103" s="152"/>
    </row>
    <row r="104" spans="1:11" s="150" customFormat="1" ht="18">
      <c r="A104" s="107" t="s">
        <v>45</v>
      </c>
      <c r="B104" s="91">
        <v>9323.9</v>
      </c>
      <c r="C104" s="92">
        <v>13985.3</v>
      </c>
      <c r="D104" s="92">
        <f>152.1+12.4+164.7+14+1585.4+8+18+148.5+2111.8+73.9</f>
        <v>4288.8</v>
      </c>
      <c r="E104" s="94">
        <f>D104/D102*100</f>
        <v>98.95023417852943</v>
      </c>
      <c r="F104" s="94">
        <f aca="true" t="shared" si="17" ref="F104:F152">D104/B104*100</f>
        <v>45.997919325604094</v>
      </c>
      <c r="G104" s="94">
        <f t="shared" si="14"/>
        <v>30.666485524086006</v>
      </c>
      <c r="H104" s="92">
        <f t="shared" si="15"/>
        <v>5035.099999999999</v>
      </c>
      <c r="I104" s="92">
        <f t="shared" si="16"/>
        <v>9696.5</v>
      </c>
      <c r="J104" s="151"/>
      <c r="K104" s="152"/>
    </row>
    <row r="105" spans="1:11" s="150" customFormat="1" ht="54.75" hidden="1" thickBot="1">
      <c r="A105" s="108" t="s">
        <v>76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5"/>
        <v>0</v>
      </c>
      <c r="I105" s="111">
        <f>C105-D105</f>
        <v>0</v>
      </c>
      <c r="J105" s="151"/>
      <c r="K105" s="152"/>
    </row>
    <row r="106" spans="1:11" s="150" customFormat="1" ht="18.75" thickBot="1">
      <c r="A106" s="108" t="s">
        <v>27</v>
      </c>
      <c r="B106" s="109">
        <f>B102-B103-B104</f>
        <v>210.20000000000073</v>
      </c>
      <c r="C106" s="109">
        <f>C102-C103-C104</f>
        <v>313.90000000000146</v>
      </c>
      <c r="D106" s="109">
        <f>D102-D103-D104</f>
        <v>45.49999999999909</v>
      </c>
      <c r="E106" s="110">
        <f>D106/D102*100</f>
        <v>1.0497658214705743</v>
      </c>
      <c r="F106" s="110">
        <f t="shared" si="17"/>
        <v>21.64605137963793</v>
      </c>
      <c r="G106" s="110">
        <f t="shared" si="14"/>
        <v>14.495062121694449</v>
      </c>
      <c r="H106" s="111">
        <f t="shared" si="15"/>
        <v>164.70000000000164</v>
      </c>
      <c r="I106" s="111">
        <f t="shared" si="16"/>
        <v>268.40000000000236</v>
      </c>
      <c r="J106" s="151"/>
      <c r="K106" s="152"/>
    </row>
    <row r="107" spans="1:12" s="2" customFormat="1" ht="26.25" customHeight="1" thickBot="1">
      <c r="A107" s="61" t="s">
        <v>28</v>
      </c>
      <c r="B107" s="62">
        <f>SUM(B108:B151)-B115-B120+B152-B142-B143-B109-B112-B123-B124-B140-B133-B131-B138-B118</f>
        <v>42450.7</v>
      </c>
      <c r="C107" s="62">
        <f>SUM(C108:C151)-C115-C120+C152-C142-C143-C109-C112-C123-C124-C140-C133-C131-C138-C118</f>
        <v>58380.9</v>
      </c>
      <c r="D107" s="62">
        <f>SUM(D108:D151)-D115-D120+D152-D142-D143-D109-D112-D123-D124-D140-D133-D131-D138-D118</f>
        <v>29785.3</v>
      </c>
      <c r="E107" s="63">
        <f>D107/D154*100</f>
        <v>15.039617138679173</v>
      </c>
      <c r="F107" s="63">
        <f>D107/B107*100</f>
        <v>70.16444958504808</v>
      </c>
      <c r="G107" s="63">
        <f t="shared" si="14"/>
        <v>51.018912007180425</v>
      </c>
      <c r="H107" s="62">
        <f t="shared" si="15"/>
        <v>12665.399999999998</v>
      </c>
      <c r="I107" s="62">
        <f t="shared" si="16"/>
        <v>28595.600000000002</v>
      </c>
      <c r="J107" s="143"/>
      <c r="K107" s="152"/>
      <c r="L107" s="84"/>
    </row>
    <row r="108" spans="1:12" s="150" customFormat="1" ht="37.5">
      <c r="A108" s="85" t="s">
        <v>49</v>
      </c>
      <c r="B108" s="163">
        <v>743.2</v>
      </c>
      <c r="C108" s="137">
        <v>1114.7</v>
      </c>
      <c r="D108" s="86">
        <f>1.8+140.5+138.5+0.9+33</f>
        <v>314.7</v>
      </c>
      <c r="E108" s="87">
        <f>D108/D107*100</f>
        <v>1.0565614581689624</v>
      </c>
      <c r="F108" s="87">
        <f t="shared" si="17"/>
        <v>42.34391819160387</v>
      </c>
      <c r="G108" s="87">
        <f t="shared" si="14"/>
        <v>28.231811249663586</v>
      </c>
      <c r="H108" s="88">
        <f t="shared" si="15"/>
        <v>428.50000000000006</v>
      </c>
      <c r="I108" s="88">
        <f t="shared" si="16"/>
        <v>800</v>
      </c>
      <c r="K108" s="152"/>
      <c r="L108" s="89"/>
    </row>
    <row r="109" spans="1:12" s="150" customFormat="1" ht="18.75">
      <c r="A109" s="90" t="s">
        <v>25</v>
      </c>
      <c r="B109" s="91">
        <v>467</v>
      </c>
      <c r="C109" s="92">
        <v>700.5</v>
      </c>
      <c r="D109" s="93">
        <f>2.4+138.5+0.9+33.1</f>
        <v>174.9</v>
      </c>
      <c r="E109" s="94">
        <f>D109/D108*100</f>
        <v>55.5767397521449</v>
      </c>
      <c r="F109" s="94">
        <f t="shared" si="17"/>
        <v>37.45182012847966</v>
      </c>
      <c r="G109" s="94">
        <f t="shared" si="14"/>
        <v>24.967880085653103</v>
      </c>
      <c r="H109" s="92">
        <f t="shared" si="15"/>
        <v>292.1</v>
      </c>
      <c r="I109" s="92">
        <f t="shared" si="16"/>
        <v>525.6</v>
      </c>
      <c r="K109" s="152"/>
      <c r="L109" s="89"/>
    </row>
    <row r="110" spans="1:12" s="150" customFormat="1" ht="34.5" customHeight="1" hidden="1">
      <c r="A110" s="95" t="s">
        <v>75</v>
      </c>
      <c r="B110" s="139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4"/>
        <v>#DIV/0!</v>
      </c>
      <c r="H110" s="88">
        <f t="shared" si="15"/>
        <v>0</v>
      </c>
      <c r="I110" s="88">
        <f t="shared" si="16"/>
        <v>0</v>
      </c>
      <c r="K110" s="152"/>
      <c r="L110" s="89"/>
    </row>
    <row r="111" spans="1:12" s="83" customFormat="1" ht="34.5" customHeight="1" hidden="1">
      <c r="A111" s="95" t="s">
        <v>90</v>
      </c>
      <c r="B111" s="141"/>
      <c r="C111" s="96"/>
      <c r="D111" s="97"/>
      <c r="E111" s="87">
        <f>D111/D107*100</f>
        <v>0</v>
      </c>
      <c r="F111" s="87" t="e">
        <f t="shared" si="17"/>
        <v>#DIV/0!</v>
      </c>
      <c r="G111" s="87" t="e">
        <f t="shared" si="14"/>
        <v>#DIV/0!</v>
      </c>
      <c r="H111" s="88">
        <f t="shared" si="15"/>
        <v>0</v>
      </c>
      <c r="I111" s="88">
        <f t="shared" si="16"/>
        <v>0</v>
      </c>
      <c r="K111" s="152"/>
      <c r="L111" s="89"/>
    </row>
    <row r="112" spans="1:12" s="150" customFormat="1" ht="18.75" customHeight="1" hidden="1">
      <c r="A112" s="90" t="s">
        <v>25</v>
      </c>
      <c r="B112" s="138"/>
      <c r="C112" s="92"/>
      <c r="D112" s="93"/>
      <c r="E112" s="94"/>
      <c r="F112" s="94" t="e">
        <f t="shared" si="17"/>
        <v>#DIV/0!</v>
      </c>
      <c r="G112" s="94" t="e">
        <f t="shared" si="14"/>
        <v>#DIV/0!</v>
      </c>
      <c r="H112" s="92">
        <f t="shared" si="15"/>
        <v>0</v>
      </c>
      <c r="I112" s="92">
        <f t="shared" si="16"/>
        <v>0</v>
      </c>
      <c r="K112" s="152"/>
      <c r="L112" s="89"/>
    </row>
    <row r="113" spans="1:12" s="150" customFormat="1" ht="18.75" customHeight="1" hidden="1">
      <c r="A113" s="95" t="s">
        <v>86</v>
      </c>
      <c r="B113" s="141"/>
      <c r="C113" s="88"/>
      <c r="D113" s="86"/>
      <c r="E113" s="87">
        <f>D113/D107*100</f>
        <v>0</v>
      </c>
      <c r="F113" s="87" t="e">
        <f t="shared" si="17"/>
        <v>#DIV/0!</v>
      </c>
      <c r="G113" s="87" t="e">
        <f t="shared" si="14"/>
        <v>#DIV/0!</v>
      </c>
      <c r="H113" s="88">
        <f t="shared" si="15"/>
        <v>0</v>
      </c>
      <c r="I113" s="88">
        <f t="shared" si="16"/>
        <v>0</v>
      </c>
      <c r="K113" s="152"/>
      <c r="L113" s="89"/>
    </row>
    <row r="114" spans="1:12" s="150" customFormat="1" ht="37.5">
      <c r="A114" s="95" t="s">
        <v>35</v>
      </c>
      <c r="B114" s="164">
        <v>543.7</v>
      </c>
      <c r="C114" s="88">
        <v>815.5</v>
      </c>
      <c r="D114" s="86">
        <v>187.7</v>
      </c>
      <c r="E114" s="87">
        <f>D114/D107*100</f>
        <v>0.6301766307540968</v>
      </c>
      <c r="F114" s="87">
        <f t="shared" si="17"/>
        <v>34.52271473238918</v>
      </c>
      <c r="G114" s="87">
        <f t="shared" si="14"/>
        <v>23.016554261189455</v>
      </c>
      <c r="H114" s="88">
        <f t="shared" si="15"/>
        <v>356.00000000000006</v>
      </c>
      <c r="I114" s="88">
        <f t="shared" si="16"/>
        <v>627.8</v>
      </c>
      <c r="K114" s="152"/>
      <c r="L114" s="89"/>
    </row>
    <row r="115" spans="1:12" s="150" customFormat="1" ht="18.75" hidden="1">
      <c r="A115" s="98" t="s">
        <v>40</v>
      </c>
      <c r="B115" s="148"/>
      <c r="C115" s="92"/>
      <c r="D115" s="93"/>
      <c r="E115" s="87"/>
      <c r="F115" s="87" t="e">
        <f t="shared" si="17"/>
        <v>#DIV/0!</v>
      </c>
      <c r="G115" s="94" t="e">
        <f t="shared" si="14"/>
        <v>#DIV/0!</v>
      </c>
      <c r="H115" s="92">
        <f t="shared" si="15"/>
        <v>0</v>
      </c>
      <c r="I115" s="92">
        <f t="shared" si="16"/>
        <v>0</v>
      </c>
      <c r="K115" s="152"/>
      <c r="L115" s="89"/>
    </row>
    <row r="116" spans="1:12" s="83" customFormat="1" ht="18.75" customHeight="1" hidden="1">
      <c r="A116" s="95" t="s">
        <v>87</v>
      </c>
      <c r="B116" s="164"/>
      <c r="C116" s="96"/>
      <c r="D116" s="97"/>
      <c r="E116" s="99">
        <f>D116/D107*100</f>
        <v>0</v>
      </c>
      <c r="F116" s="87" t="e">
        <f t="shared" si="17"/>
        <v>#DIV/0!</v>
      </c>
      <c r="G116" s="99" t="e">
        <f t="shared" si="14"/>
        <v>#DIV/0!</v>
      </c>
      <c r="H116" s="96">
        <f t="shared" si="15"/>
        <v>0</v>
      </c>
      <c r="I116" s="96">
        <f t="shared" si="16"/>
        <v>0</v>
      </c>
      <c r="K116" s="152"/>
      <c r="L116" s="89"/>
    </row>
    <row r="117" spans="1:12" s="150" customFormat="1" ht="37.5" hidden="1">
      <c r="A117" s="95" t="s">
        <v>44</v>
      </c>
      <c r="B117" s="164"/>
      <c r="C117" s="88"/>
      <c r="D117" s="86"/>
      <c r="E117" s="87">
        <f>D117/D107*100</f>
        <v>0</v>
      </c>
      <c r="F117" s="87" t="e">
        <f>D117/B117*100</f>
        <v>#DIV/0!</v>
      </c>
      <c r="G117" s="87" t="e">
        <f t="shared" si="14"/>
        <v>#DIV/0!</v>
      </c>
      <c r="H117" s="88">
        <f t="shared" si="15"/>
        <v>0</v>
      </c>
      <c r="I117" s="88">
        <f t="shared" si="16"/>
        <v>0</v>
      </c>
      <c r="K117" s="152"/>
      <c r="L117" s="89"/>
    </row>
    <row r="118" spans="1:12" s="150" customFormat="1" ht="18.75" hidden="1">
      <c r="A118" s="98" t="s">
        <v>85</v>
      </c>
      <c r="B118" s="148"/>
      <c r="C118" s="149"/>
      <c r="D118" s="93"/>
      <c r="E118" s="94" t="e">
        <f>D118/D117*100</f>
        <v>#DIV/0!</v>
      </c>
      <c r="F118" s="94" t="e">
        <f>D118/B118*100</f>
        <v>#DIV/0!</v>
      </c>
      <c r="G118" s="94" t="e">
        <f>D118/C118*100</f>
        <v>#DIV/0!</v>
      </c>
      <c r="H118" s="92">
        <f>B118-D118</f>
        <v>0</v>
      </c>
      <c r="I118" s="92">
        <f>C118-D118</f>
        <v>0</v>
      </c>
      <c r="K118" s="152"/>
      <c r="L118" s="89"/>
    </row>
    <row r="119" spans="1:12" s="100" customFormat="1" ht="18.75">
      <c r="A119" s="95" t="s">
        <v>15</v>
      </c>
      <c r="B119" s="164">
        <v>81.9</v>
      </c>
      <c r="C119" s="96">
        <v>122.9</v>
      </c>
      <c r="D119" s="86">
        <f>80.5+0.2</f>
        <v>80.7</v>
      </c>
      <c r="E119" s="87">
        <f>D119/D107*100</f>
        <v>0.270939020254958</v>
      </c>
      <c r="F119" s="87">
        <f t="shared" si="17"/>
        <v>98.53479853479853</v>
      </c>
      <c r="G119" s="87">
        <f t="shared" si="14"/>
        <v>65.66314076484947</v>
      </c>
      <c r="H119" s="88">
        <f t="shared" si="15"/>
        <v>1.2000000000000028</v>
      </c>
      <c r="I119" s="88">
        <f t="shared" si="16"/>
        <v>42.2</v>
      </c>
      <c r="K119" s="152"/>
      <c r="L119" s="89"/>
    </row>
    <row r="120" spans="1:12" s="101" customFormat="1" ht="18.75">
      <c r="A120" s="98" t="s">
        <v>40</v>
      </c>
      <c r="B120" s="148">
        <v>81.4</v>
      </c>
      <c r="C120" s="92">
        <v>122.1</v>
      </c>
      <c r="D120" s="93">
        <v>80.5</v>
      </c>
      <c r="E120" s="94">
        <f>D120/D119*100</f>
        <v>99.75216852540272</v>
      </c>
      <c r="F120" s="94">
        <f t="shared" si="17"/>
        <v>98.89434889434888</v>
      </c>
      <c r="G120" s="94">
        <f t="shared" si="14"/>
        <v>65.92956592956594</v>
      </c>
      <c r="H120" s="92">
        <f t="shared" si="15"/>
        <v>0.9000000000000057</v>
      </c>
      <c r="I120" s="92">
        <f t="shared" si="16"/>
        <v>41.599999999999994</v>
      </c>
      <c r="K120" s="152"/>
      <c r="L120" s="89"/>
    </row>
    <row r="121" spans="1:12" s="100" customFormat="1" ht="18.75">
      <c r="A121" s="95" t="s">
        <v>102</v>
      </c>
      <c r="B121" s="164">
        <v>34.3</v>
      </c>
      <c r="C121" s="96">
        <v>51.5</v>
      </c>
      <c r="D121" s="86"/>
      <c r="E121" s="87">
        <f>D121/D107*100</f>
        <v>0</v>
      </c>
      <c r="F121" s="87">
        <f t="shared" si="17"/>
        <v>0</v>
      </c>
      <c r="G121" s="87">
        <f t="shared" si="14"/>
        <v>0</v>
      </c>
      <c r="H121" s="88">
        <f t="shared" si="15"/>
        <v>34.3</v>
      </c>
      <c r="I121" s="88">
        <f t="shared" si="16"/>
        <v>51.5</v>
      </c>
      <c r="K121" s="152"/>
      <c r="L121" s="89"/>
    </row>
    <row r="122" spans="1:13" s="100" customFormat="1" ht="21.75" customHeight="1" hidden="1">
      <c r="A122" s="95" t="s">
        <v>91</v>
      </c>
      <c r="B122" s="164"/>
      <c r="C122" s="96"/>
      <c r="D122" s="97"/>
      <c r="E122" s="99">
        <f>D122/D107*100</f>
        <v>0</v>
      </c>
      <c r="F122" s="87" t="e">
        <f t="shared" si="17"/>
        <v>#DIV/0!</v>
      </c>
      <c r="G122" s="87" t="e">
        <f t="shared" si="14"/>
        <v>#DIV/0!</v>
      </c>
      <c r="H122" s="88">
        <f t="shared" si="15"/>
        <v>0</v>
      </c>
      <c r="I122" s="88">
        <f t="shared" si="16"/>
        <v>0</v>
      </c>
      <c r="J122" s="143"/>
      <c r="K122" s="152">
        <f>H108+H111+H113+H114+H117+H119+H121+H126+H127+H128+H130+H132+H136+H137+H139+H69</f>
        <v>1589.4</v>
      </c>
      <c r="L122" s="152">
        <f>I108+I111+I113+I114+I117+I119+I121+I126+I127+I128+I130+I132+I136+I137+I139+I69</f>
        <v>2690.5</v>
      </c>
      <c r="M122" s="152">
        <f>J108+J111+J113+J114+J117+J119+J121+J126+J127+J128+J130+J132+J136+J137+J139+J69</f>
        <v>0</v>
      </c>
    </row>
    <row r="123" spans="1:12" s="102" customFormat="1" ht="18.75" hidden="1">
      <c r="A123" s="90" t="s">
        <v>77</v>
      </c>
      <c r="B123" s="148"/>
      <c r="C123" s="92"/>
      <c r="D123" s="93"/>
      <c r="E123" s="87"/>
      <c r="F123" s="94" t="e">
        <f>D123/B123*100</f>
        <v>#DIV/0!</v>
      </c>
      <c r="G123" s="94" t="e">
        <f t="shared" si="14"/>
        <v>#DIV/0!</v>
      </c>
      <c r="H123" s="92">
        <f t="shared" si="15"/>
        <v>0</v>
      </c>
      <c r="I123" s="92">
        <f t="shared" si="16"/>
        <v>0</v>
      </c>
      <c r="K123" s="152"/>
      <c r="L123" s="89"/>
    </row>
    <row r="124" spans="1:12" s="102" customFormat="1" ht="18.75" hidden="1">
      <c r="A124" s="90" t="s">
        <v>46</v>
      </c>
      <c r="B124" s="148"/>
      <c r="C124" s="92"/>
      <c r="D124" s="93"/>
      <c r="E124" s="87"/>
      <c r="F124" s="94" t="e">
        <f>D124/B124*100</f>
        <v>#DIV/0!</v>
      </c>
      <c r="G124" s="94" t="e">
        <f t="shared" si="14"/>
        <v>#DIV/0!</v>
      </c>
      <c r="H124" s="92">
        <f t="shared" si="15"/>
        <v>0</v>
      </c>
      <c r="I124" s="92">
        <f t="shared" si="16"/>
        <v>0</v>
      </c>
      <c r="K124" s="152"/>
      <c r="L124" s="89"/>
    </row>
    <row r="125" spans="1:12" s="100" customFormat="1" ht="37.5">
      <c r="A125" s="95" t="s">
        <v>92</v>
      </c>
      <c r="B125" s="164">
        <f>2369.7+173.7+321.7</f>
        <v>2865.0999999999995</v>
      </c>
      <c r="C125" s="96">
        <v>3262.8</v>
      </c>
      <c r="D125" s="97">
        <f>871.9+408.1+585.9+900.5</f>
        <v>2766.4</v>
      </c>
      <c r="E125" s="99">
        <f>D125/D107*100</f>
        <v>9.287803043783343</v>
      </c>
      <c r="F125" s="87">
        <f t="shared" si="17"/>
        <v>96.55509406303447</v>
      </c>
      <c r="G125" s="87">
        <f t="shared" si="14"/>
        <v>84.78607331126639</v>
      </c>
      <c r="H125" s="88">
        <f t="shared" si="15"/>
        <v>98.69999999999936</v>
      </c>
      <c r="I125" s="88">
        <f t="shared" si="16"/>
        <v>496.4000000000001</v>
      </c>
      <c r="K125" s="152"/>
      <c r="L125" s="89"/>
    </row>
    <row r="126" spans="1:12" s="100" customFormat="1" ht="18.75" hidden="1">
      <c r="A126" s="95" t="s">
        <v>88</v>
      </c>
      <c r="B126" s="164"/>
      <c r="C126" s="96"/>
      <c r="D126" s="97"/>
      <c r="E126" s="99">
        <f>D126/D107*100</f>
        <v>0</v>
      </c>
      <c r="F126" s="87" t="e">
        <f t="shared" si="17"/>
        <v>#DIV/0!</v>
      </c>
      <c r="G126" s="87" t="e">
        <f t="shared" si="14"/>
        <v>#DIV/0!</v>
      </c>
      <c r="H126" s="88">
        <f t="shared" si="15"/>
        <v>0</v>
      </c>
      <c r="I126" s="88">
        <f t="shared" si="16"/>
        <v>0</v>
      </c>
      <c r="K126" s="152"/>
      <c r="L126" s="89"/>
    </row>
    <row r="127" spans="1:17" s="100" customFormat="1" ht="37.5">
      <c r="A127" s="95" t="s">
        <v>97</v>
      </c>
      <c r="B127" s="164">
        <v>75</v>
      </c>
      <c r="C127" s="96">
        <v>112.5</v>
      </c>
      <c r="D127" s="97">
        <v>2.2</v>
      </c>
      <c r="E127" s="99">
        <f>D127/D107*100</f>
        <v>0.007386193860729958</v>
      </c>
      <c r="F127" s="87">
        <f t="shared" si="17"/>
        <v>2.9333333333333336</v>
      </c>
      <c r="G127" s="87">
        <f t="shared" si="14"/>
        <v>1.955555555555556</v>
      </c>
      <c r="H127" s="88">
        <f t="shared" si="15"/>
        <v>72.8</v>
      </c>
      <c r="I127" s="88">
        <f t="shared" si="16"/>
        <v>110.3</v>
      </c>
      <c r="K127" s="152"/>
      <c r="L127" s="89"/>
      <c r="Q127" s="89"/>
    </row>
    <row r="128" spans="1:17" s="100" customFormat="1" ht="37.5">
      <c r="A128" s="95" t="s">
        <v>82</v>
      </c>
      <c r="B128" s="164">
        <v>18.5</v>
      </c>
      <c r="C128" s="96">
        <v>27.7</v>
      </c>
      <c r="D128" s="97"/>
      <c r="E128" s="99">
        <f>D128/D107*100</f>
        <v>0</v>
      </c>
      <c r="F128" s="87">
        <f t="shared" si="17"/>
        <v>0</v>
      </c>
      <c r="G128" s="87">
        <f t="shared" si="14"/>
        <v>0</v>
      </c>
      <c r="H128" s="88">
        <f t="shared" si="15"/>
        <v>18.5</v>
      </c>
      <c r="I128" s="88">
        <f t="shared" si="16"/>
        <v>27.7</v>
      </c>
      <c r="K128" s="152"/>
      <c r="L128" s="89"/>
      <c r="Q128" s="89"/>
    </row>
    <row r="129" spans="1:12" s="100" customFormat="1" ht="18.75" hidden="1">
      <c r="A129" s="98" t="s">
        <v>80</v>
      </c>
      <c r="B129" s="164"/>
      <c r="C129" s="96"/>
      <c r="D129" s="97"/>
      <c r="E129" s="99">
        <f>D129/D108*100</f>
        <v>0</v>
      </c>
      <c r="F129" s="87" t="e">
        <f t="shared" si="17"/>
        <v>#DIV/0!</v>
      </c>
      <c r="G129" s="87" t="e">
        <f t="shared" si="14"/>
        <v>#DIV/0!</v>
      </c>
      <c r="H129" s="88">
        <f t="shared" si="15"/>
        <v>0</v>
      </c>
      <c r="I129" s="88">
        <f t="shared" si="16"/>
        <v>0</v>
      </c>
      <c r="K129" s="152"/>
      <c r="L129" s="89"/>
    </row>
    <row r="130" spans="1:17" s="100" customFormat="1" ht="37.5">
      <c r="A130" s="95" t="s">
        <v>54</v>
      </c>
      <c r="B130" s="164">
        <v>157</v>
      </c>
      <c r="C130" s="96">
        <v>235.5</v>
      </c>
      <c r="D130" s="97">
        <f>7.7+12.9+2.8+0.3+0.9</f>
        <v>24.6</v>
      </c>
      <c r="E130" s="99">
        <f>D130/D107*100</f>
        <v>0.08259107680634407</v>
      </c>
      <c r="F130" s="87">
        <f t="shared" si="17"/>
        <v>15.6687898089172</v>
      </c>
      <c r="G130" s="87">
        <f t="shared" si="14"/>
        <v>10.445859872611466</v>
      </c>
      <c r="H130" s="88">
        <f t="shared" si="15"/>
        <v>132.4</v>
      </c>
      <c r="I130" s="88">
        <f t="shared" si="16"/>
        <v>210.9</v>
      </c>
      <c r="K130" s="152"/>
      <c r="L130" s="89"/>
      <c r="Q130" s="89"/>
    </row>
    <row r="131" spans="1:17" s="101" customFormat="1" ht="18.75">
      <c r="A131" s="90" t="s">
        <v>85</v>
      </c>
      <c r="B131" s="148">
        <v>15.9</v>
      </c>
      <c r="C131" s="92">
        <v>23.9</v>
      </c>
      <c r="D131" s="93">
        <v>7.7</v>
      </c>
      <c r="E131" s="94">
        <f>D131/D130*100</f>
        <v>31.300813008130078</v>
      </c>
      <c r="F131" s="94">
        <f>D131/B131*100</f>
        <v>48.42767295597484</v>
      </c>
      <c r="G131" s="94">
        <f t="shared" si="14"/>
        <v>32.21757322175732</v>
      </c>
      <c r="H131" s="92">
        <f t="shared" si="15"/>
        <v>8.2</v>
      </c>
      <c r="I131" s="92">
        <f t="shared" si="16"/>
        <v>16.2</v>
      </c>
      <c r="K131" s="152"/>
      <c r="L131" s="89"/>
      <c r="Q131" s="133"/>
    </row>
    <row r="132" spans="1:12" s="100" customFormat="1" ht="37.5">
      <c r="A132" s="95" t="s">
        <v>100</v>
      </c>
      <c r="B132" s="164">
        <v>80.8</v>
      </c>
      <c r="C132" s="96">
        <v>121.2</v>
      </c>
      <c r="D132" s="97"/>
      <c r="E132" s="99">
        <f>D132/D107*100</f>
        <v>0</v>
      </c>
      <c r="F132" s="87">
        <f t="shared" si="17"/>
        <v>0</v>
      </c>
      <c r="G132" s="87">
        <f t="shared" si="14"/>
        <v>0</v>
      </c>
      <c r="H132" s="88">
        <f t="shared" si="15"/>
        <v>80.8</v>
      </c>
      <c r="I132" s="88">
        <f t="shared" si="16"/>
        <v>121.2</v>
      </c>
      <c r="K132" s="152"/>
      <c r="L132" s="89"/>
    </row>
    <row r="133" spans="1:12" s="101" customFormat="1" ht="18.75" hidden="1">
      <c r="A133" s="98" t="s">
        <v>40</v>
      </c>
      <c r="B133" s="148"/>
      <c r="C133" s="92"/>
      <c r="D133" s="93"/>
      <c r="E133" s="94"/>
      <c r="F133" s="94" t="e">
        <f>D133/B133*100</f>
        <v>#DIV/0!</v>
      </c>
      <c r="G133" s="94" t="e">
        <f t="shared" si="14"/>
        <v>#DIV/0!</v>
      </c>
      <c r="H133" s="92">
        <f t="shared" si="15"/>
        <v>0</v>
      </c>
      <c r="I133" s="92">
        <f t="shared" si="16"/>
        <v>0</v>
      </c>
      <c r="K133" s="152"/>
      <c r="L133" s="89"/>
    </row>
    <row r="134" spans="1:12" s="100" customFormat="1" ht="35.25" customHeight="1" hidden="1">
      <c r="A134" s="95" t="s">
        <v>99</v>
      </c>
      <c r="B134" s="164"/>
      <c r="C134" s="96"/>
      <c r="D134" s="97"/>
      <c r="E134" s="99">
        <f>D134/D107*100</f>
        <v>0</v>
      </c>
      <c r="F134" s="87" t="e">
        <f t="shared" si="17"/>
        <v>#DIV/0!</v>
      </c>
      <c r="G134" s="87" t="e">
        <f t="shared" si="14"/>
        <v>#DIV/0!</v>
      </c>
      <c r="H134" s="88">
        <f t="shared" si="15"/>
        <v>0</v>
      </c>
      <c r="I134" s="88">
        <f>C134-D134</f>
        <v>0</v>
      </c>
      <c r="K134" s="152"/>
      <c r="L134" s="89"/>
    </row>
    <row r="135" spans="1:12" s="100" customFormat="1" ht="21.75" customHeight="1" hidden="1">
      <c r="A135" s="95" t="s">
        <v>98</v>
      </c>
      <c r="B135" s="164"/>
      <c r="C135" s="96"/>
      <c r="D135" s="97"/>
      <c r="E135" s="99">
        <f>D135/D107*100</f>
        <v>0</v>
      </c>
      <c r="F135" s="87" t="e">
        <f t="shared" si="17"/>
        <v>#DIV/0!</v>
      </c>
      <c r="G135" s="87" t="e">
        <f t="shared" si="14"/>
        <v>#DIV/0!</v>
      </c>
      <c r="H135" s="88">
        <f t="shared" si="15"/>
        <v>0</v>
      </c>
      <c r="I135" s="88">
        <f t="shared" si="16"/>
        <v>0</v>
      </c>
      <c r="K135" s="152"/>
      <c r="L135" s="89"/>
    </row>
    <row r="136" spans="1:12" s="100" customFormat="1" ht="35.25" customHeight="1">
      <c r="A136" s="95" t="s">
        <v>84</v>
      </c>
      <c r="B136" s="164">
        <v>247.2</v>
      </c>
      <c r="C136" s="96">
        <v>370.8</v>
      </c>
      <c r="D136" s="97"/>
      <c r="E136" s="99">
        <f>D136/D107*100</f>
        <v>0</v>
      </c>
      <c r="F136" s="87">
        <f t="shared" si="17"/>
        <v>0</v>
      </c>
      <c r="G136" s="87">
        <f t="shared" si="14"/>
        <v>0</v>
      </c>
      <c r="H136" s="88">
        <f t="shared" si="15"/>
        <v>247.2</v>
      </c>
      <c r="I136" s="88">
        <f t="shared" si="16"/>
        <v>370.8</v>
      </c>
      <c r="K136" s="152"/>
      <c r="L136" s="89"/>
    </row>
    <row r="137" spans="1:12" s="100" customFormat="1" ht="39" customHeight="1">
      <c r="A137" s="95" t="s">
        <v>51</v>
      </c>
      <c r="B137" s="164">
        <v>58.3</v>
      </c>
      <c r="C137" s="96">
        <v>87.5</v>
      </c>
      <c r="D137" s="97"/>
      <c r="E137" s="99">
        <f>D137/D107*100</f>
        <v>0</v>
      </c>
      <c r="F137" s="87">
        <f t="shared" si="17"/>
        <v>0</v>
      </c>
      <c r="G137" s="87">
        <f t="shared" si="14"/>
        <v>0</v>
      </c>
      <c r="H137" s="88">
        <f t="shared" si="15"/>
        <v>58.3</v>
      </c>
      <c r="I137" s="88">
        <f t="shared" si="16"/>
        <v>87.5</v>
      </c>
      <c r="K137" s="152"/>
      <c r="L137" s="89"/>
    </row>
    <row r="138" spans="1:12" s="101" customFormat="1" ht="18.75">
      <c r="A138" s="90" t="s">
        <v>85</v>
      </c>
      <c r="B138" s="148">
        <v>18.3</v>
      </c>
      <c r="C138" s="92">
        <v>27.5</v>
      </c>
      <c r="D138" s="93"/>
      <c r="E138" s="94"/>
      <c r="F138" s="87">
        <f>D138/B138*100</f>
        <v>0</v>
      </c>
      <c r="G138" s="94">
        <f>D138/C138*100</f>
        <v>0</v>
      </c>
      <c r="H138" s="92">
        <f>B138-D138</f>
        <v>18.3</v>
      </c>
      <c r="I138" s="92">
        <f>C138-D138</f>
        <v>27.5</v>
      </c>
      <c r="K138" s="152"/>
      <c r="L138" s="89"/>
    </row>
    <row r="139" spans="1:12" s="100" customFormat="1" ht="32.25" customHeight="1">
      <c r="A139" s="95" t="s">
        <v>81</v>
      </c>
      <c r="B139" s="164">
        <v>101.3</v>
      </c>
      <c r="C139" s="96">
        <v>151.9</v>
      </c>
      <c r="D139" s="97">
        <v>3.4</v>
      </c>
      <c r="E139" s="99">
        <f>D139/D107*100</f>
        <v>0.01141502687567357</v>
      </c>
      <c r="F139" s="87">
        <f>D139/B139*100</f>
        <v>3.356367226061204</v>
      </c>
      <c r="G139" s="87">
        <f>D139/C139*100</f>
        <v>2.238314680710994</v>
      </c>
      <c r="H139" s="88">
        <f t="shared" si="15"/>
        <v>97.89999999999999</v>
      </c>
      <c r="I139" s="88">
        <f t="shared" si="16"/>
        <v>148.5</v>
      </c>
      <c r="K139" s="152"/>
      <c r="L139" s="89"/>
    </row>
    <row r="140" spans="1:12" s="101" customFormat="1" ht="18.75">
      <c r="A140" s="90" t="s">
        <v>25</v>
      </c>
      <c r="B140" s="148">
        <v>98.3</v>
      </c>
      <c r="C140" s="92">
        <v>147.9</v>
      </c>
      <c r="D140" s="93">
        <v>0.4</v>
      </c>
      <c r="E140" s="94">
        <f>D140/D139*100</f>
        <v>11.764705882352942</v>
      </c>
      <c r="F140" s="94">
        <f t="shared" si="17"/>
        <v>0.4069175991861649</v>
      </c>
      <c r="G140" s="94">
        <f>D140/C140*100</f>
        <v>0.2704530087897228</v>
      </c>
      <c r="H140" s="92">
        <f t="shared" si="15"/>
        <v>97.89999999999999</v>
      </c>
      <c r="I140" s="92">
        <f t="shared" si="16"/>
        <v>147.5</v>
      </c>
      <c r="K140" s="152"/>
      <c r="L140" s="89"/>
    </row>
    <row r="141" spans="1:12" s="100" customFormat="1" ht="18.75">
      <c r="A141" s="95" t="s">
        <v>93</v>
      </c>
      <c r="B141" s="164">
        <v>293.3</v>
      </c>
      <c r="C141" s="96">
        <v>440</v>
      </c>
      <c r="D141" s="97">
        <f>33.6+100.1+61.4</f>
        <v>195.1</v>
      </c>
      <c r="E141" s="99">
        <f>D141/D107*100</f>
        <v>0.6550211010129158</v>
      </c>
      <c r="F141" s="87">
        <f t="shared" si="17"/>
        <v>66.51892260484146</v>
      </c>
      <c r="G141" s="87">
        <f t="shared" si="14"/>
        <v>44.34090909090909</v>
      </c>
      <c r="H141" s="88">
        <f t="shared" si="15"/>
        <v>98.20000000000002</v>
      </c>
      <c r="I141" s="88">
        <f t="shared" si="16"/>
        <v>244.9</v>
      </c>
      <c r="J141" s="143"/>
      <c r="K141" s="152"/>
      <c r="L141" s="89"/>
    </row>
    <row r="142" spans="1:13" s="101" customFormat="1" ht="18.75">
      <c r="A142" s="98" t="s">
        <v>40</v>
      </c>
      <c r="B142" s="148">
        <v>268.1</v>
      </c>
      <c r="C142" s="92">
        <v>402.6</v>
      </c>
      <c r="D142" s="93">
        <f>33.6+99.1+51.9</f>
        <v>184.6</v>
      </c>
      <c r="E142" s="94">
        <f>D142/D141*100</f>
        <v>94.61814454126089</v>
      </c>
      <c r="F142" s="94">
        <f t="shared" si="17"/>
        <v>68.85490488623647</v>
      </c>
      <c r="G142" s="94">
        <f t="shared" si="14"/>
        <v>45.85196224540486</v>
      </c>
      <c r="H142" s="92">
        <f t="shared" si="15"/>
        <v>83.50000000000003</v>
      </c>
      <c r="I142" s="92">
        <f t="shared" si="16"/>
        <v>218.00000000000003</v>
      </c>
      <c r="J142" s="144"/>
      <c r="K142" s="152"/>
      <c r="L142" s="89">
        <f>B108+B111+B114+B117+B119+B126+B127+B128+B130+B136+B71+B132+B137+B121+B113+B139+B70</f>
        <v>2202.7000000000003</v>
      </c>
      <c r="M142" s="133">
        <f>H69+H108+H114+H119+H121+H127+H128+H130+H132+H136+H137+H139</f>
        <v>1589.4</v>
      </c>
    </row>
    <row r="143" spans="1:13" s="101" customFormat="1" ht="18.75">
      <c r="A143" s="90" t="s">
        <v>25</v>
      </c>
      <c r="B143" s="148">
        <v>17</v>
      </c>
      <c r="C143" s="92">
        <v>24.1</v>
      </c>
      <c r="D143" s="93">
        <v>9.3</v>
      </c>
      <c r="E143" s="94">
        <f>D143/D141*100</f>
        <v>4.766786263454639</v>
      </c>
      <c r="F143" s="94">
        <f t="shared" si="17"/>
        <v>54.70588235294118</v>
      </c>
      <c r="G143" s="94">
        <f>D143/C143*100</f>
        <v>38.589211618257266</v>
      </c>
      <c r="H143" s="92">
        <f t="shared" si="15"/>
        <v>7.699999999999999</v>
      </c>
      <c r="I143" s="92">
        <f t="shared" si="16"/>
        <v>14.8</v>
      </c>
      <c r="J143" s="144"/>
      <c r="K143" s="152"/>
      <c r="L143" s="89"/>
      <c r="M143" s="133"/>
    </row>
    <row r="144" spans="1:12" s="100" customFormat="1" ht="33.75" customHeight="1" hidden="1">
      <c r="A144" s="103" t="s">
        <v>53</v>
      </c>
      <c r="B144" s="164"/>
      <c r="C144" s="96"/>
      <c r="D144" s="97"/>
      <c r="E144" s="99">
        <f>D144/D107*100</f>
        <v>0</v>
      </c>
      <c r="F144" s="87" t="e">
        <f t="shared" si="17"/>
        <v>#DIV/0!</v>
      </c>
      <c r="G144" s="87" t="e">
        <f t="shared" si="14"/>
        <v>#DIV/0!</v>
      </c>
      <c r="H144" s="88">
        <f t="shared" si="15"/>
        <v>0</v>
      </c>
      <c r="I144" s="88">
        <f t="shared" si="16"/>
        <v>0</v>
      </c>
      <c r="J144" s="143"/>
      <c r="K144" s="152"/>
      <c r="L144" s="89"/>
    </row>
    <row r="145" spans="1:12" s="100" customFormat="1" ht="18.75" hidden="1">
      <c r="A145" s="103" t="s">
        <v>89</v>
      </c>
      <c r="B145" s="164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4"/>
        <v>#DIV/0!</v>
      </c>
      <c r="H145" s="88">
        <f t="shared" si="15"/>
        <v>0</v>
      </c>
      <c r="I145" s="88">
        <f t="shared" si="16"/>
        <v>0</v>
      </c>
      <c r="J145" s="143"/>
      <c r="K145" s="152"/>
      <c r="L145" s="89"/>
    </row>
    <row r="146" spans="1:12" s="100" customFormat="1" ht="18.75">
      <c r="A146" s="103" t="s">
        <v>94</v>
      </c>
      <c r="B146" s="164">
        <v>16128.7</v>
      </c>
      <c r="C146" s="96">
        <v>24193</v>
      </c>
      <c r="D146" s="97">
        <f>457.7+20.2+2395.4+103.8+376.7+1013.1+85.7+519.6+3989.1</f>
        <v>8961.300000000001</v>
      </c>
      <c r="E146" s="99">
        <f>D146/D107*100</f>
        <v>30.08631774734517</v>
      </c>
      <c r="F146" s="87">
        <f t="shared" si="17"/>
        <v>55.56120456081396</v>
      </c>
      <c r="G146" s="87">
        <f t="shared" si="14"/>
        <v>37.04087959327079</v>
      </c>
      <c r="H146" s="88">
        <f t="shared" si="15"/>
        <v>7167.4</v>
      </c>
      <c r="I146" s="88">
        <f t="shared" si="16"/>
        <v>15231.699999999999</v>
      </c>
      <c r="J146" s="143"/>
      <c r="K146" s="152"/>
      <c r="L146" s="89"/>
    </row>
    <row r="147" spans="1:12" s="100" customFormat="1" ht="18.75" hidden="1">
      <c r="A147" s="103" t="s">
        <v>83</v>
      </c>
      <c r="B147" s="164"/>
      <c r="C147" s="96"/>
      <c r="D147" s="97"/>
      <c r="E147" s="99">
        <f>D147/D107*100</f>
        <v>0</v>
      </c>
      <c r="F147" s="87" t="e">
        <f t="shared" si="17"/>
        <v>#DIV/0!</v>
      </c>
      <c r="G147" s="87" t="e">
        <f t="shared" si="14"/>
        <v>#DIV/0!</v>
      </c>
      <c r="H147" s="88">
        <f t="shared" si="15"/>
        <v>0</v>
      </c>
      <c r="I147" s="88">
        <f t="shared" si="16"/>
        <v>0</v>
      </c>
      <c r="J147" s="143"/>
      <c r="K147" s="152"/>
      <c r="L147" s="89"/>
    </row>
    <row r="148" spans="1:12" s="100" customFormat="1" ht="37.5" hidden="1">
      <c r="A148" s="103" t="s">
        <v>101</v>
      </c>
      <c r="B148" s="164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3"/>
      <c r="K148" s="152"/>
      <c r="L148" s="89"/>
    </row>
    <row r="149" spans="1:12" s="100" customFormat="1" ht="18.75">
      <c r="A149" s="95" t="s">
        <v>95</v>
      </c>
      <c r="B149" s="164"/>
      <c r="C149" s="96">
        <v>29.5</v>
      </c>
      <c r="D149" s="97"/>
      <c r="E149" s="99">
        <f>D149/D107*100</f>
        <v>0</v>
      </c>
      <c r="F149" s="87" t="e">
        <f t="shared" si="17"/>
        <v>#DIV/0!</v>
      </c>
      <c r="G149" s="87">
        <f t="shared" si="14"/>
        <v>0</v>
      </c>
      <c r="H149" s="88">
        <f t="shared" si="15"/>
        <v>0</v>
      </c>
      <c r="I149" s="88">
        <f t="shared" si="16"/>
        <v>29.5</v>
      </c>
      <c r="J149" s="143"/>
      <c r="K149" s="152"/>
      <c r="L149" s="89"/>
    </row>
    <row r="150" spans="1:12" s="100" customFormat="1" ht="18" customHeight="1" hidden="1">
      <c r="A150" s="95" t="s">
        <v>74</v>
      </c>
      <c r="B150" s="141"/>
      <c r="C150" s="96"/>
      <c r="D150" s="97"/>
      <c r="E150" s="99">
        <f>D150/D107*100</f>
        <v>0</v>
      </c>
      <c r="F150" s="87" t="e">
        <f t="shared" si="17"/>
        <v>#DIV/0!</v>
      </c>
      <c r="G150" s="87" t="e">
        <f t="shared" si="14"/>
        <v>#DIV/0!</v>
      </c>
      <c r="H150" s="88">
        <f t="shared" si="15"/>
        <v>0</v>
      </c>
      <c r="I150" s="88">
        <f t="shared" si="16"/>
        <v>0</v>
      </c>
      <c r="J150" s="143"/>
      <c r="K150" s="152"/>
      <c r="L150" s="89"/>
    </row>
    <row r="151" spans="1:12" s="100" customFormat="1" ht="19.5" customHeight="1">
      <c r="A151" s="95" t="s">
        <v>47</v>
      </c>
      <c r="B151" s="141">
        <v>9702</v>
      </c>
      <c r="C151" s="96">
        <v>10263.9</v>
      </c>
      <c r="D151" s="97">
        <f>3512+6190</f>
        <v>9702</v>
      </c>
      <c r="E151" s="99">
        <f>D151/D107*100</f>
        <v>32.57311492581911</v>
      </c>
      <c r="F151" s="87">
        <f t="shared" si="17"/>
        <v>100</v>
      </c>
      <c r="G151" s="87">
        <f t="shared" si="14"/>
        <v>94.52547277350715</v>
      </c>
      <c r="H151" s="88">
        <f t="shared" si="15"/>
        <v>0</v>
      </c>
      <c r="I151" s="88">
        <f>C151-D151</f>
        <v>561.8999999999996</v>
      </c>
      <c r="K151" s="152"/>
      <c r="L151" s="89"/>
    </row>
    <row r="152" spans="1:12" s="100" customFormat="1" ht="18.75">
      <c r="A152" s="95" t="s">
        <v>96</v>
      </c>
      <c r="B152" s="141">
        <v>11320.4</v>
      </c>
      <c r="C152" s="96">
        <f>10558+6422</f>
        <v>16980</v>
      </c>
      <c r="D152" s="97">
        <f>1886.8+1886.8+1886.8+1886.8</f>
        <v>7547.2</v>
      </c>
      <c r="E152" s="99">
        <f>D152/D107*100</f>
        <v>25.3386737753187</v>
      </c>
      <c r="F152" s="87">
        <f t="shared" si="17"/>
        <v>66.66902229603194</v>
      </c>
      <c r="G152" s="87">
        <f t="shared" si="14"/>
        <v>44.447585394581864</v>
      </c>
      <c r="H152" s="88">
        <f t="shared" si="15"/>
        <v>3773.2</v>
      </c>
      <c r="I152" s="88">
        <f t="shared" si="16"/>
        <v>9432.8</v>
      </c>
      <c r="K152" s="152"/>
      <c r="L152" s="89"/>
    </row>
    <row r="153" spans="1:12" s="2" customFormat="1" ht="19.5" thickBot="1">
      <c r="A153" s="24" t="s">
        <v>29</v>
      </c>
      <c r="B153" s="142"/>
      <c r="C153" s="58"/>
      <c r="D153" s="39">
        <f>D43+D69+D72+D77+D79+D87+D102+D107+D100+D84+D98</f>
        <v>34154.5</v>
      </c>
      <c r="E153" s="12"/>
      <c r="F153" s="12"/>
      <c r="G153" s="4"/>
      <c r="H153" s="47"/>
      <c r="I153" s="39"/>
      <c r="K153" s="152"/>
      <c r="L153" s="28"/>
    </row>
    <row r="154" spans="1:12" ht="19.5" thickBot="1">
      <c r="A154" s="9" t="s">
        <v>18</v>
      </c>
      <c r="B154" s="35">
        <f>B6+B18+B33+B43+B51+B59+B69+B72+B77+B79+B87+B90+B95+B102+B107+B100+B84+B98+B45</f>
        <v>315795.3</v>
      </c>
      <c r="C154" s="35">
        <f>C6+C18+C33+C43+C51+C59+C69+C72+C77+C79+C87+C90+C95+C102+C107+C100+C84+C98+C45</f>
        <v>469433.39999999997</v>
      </c>
      <c r="D154" s="35">
        <f>D6+D18+D33+D43+D51+D59+D69+D72+D77+D79+D87+D90+D95+D102+D107+D100+D84+D98+D45</f>
        <v>198045.59999999998</v>
      </c>
      <c r="E154" s="23">
        <v>100</v>
      </c>
      <c r="F154" s="3">
        <f>D154/B154*100</f>
        <v>62.71328293992975</v>
      </c>
      <c r="G154" s="3">
        <f aca="true" t="shared" si="18" ref="G154:G160">D154/C154*100</f>
        <v>42.18822094891416</v>
      </c>
      <c r="H154" s="35">
        <f>B154-D154</f>
        <v>117749.70000000001</v>
      </c>
      <c r="I154" s="35">
        <f aca="true" t="shared" si="19" ref="I154:I160">C154-D154</f>
        <v>271387.8</v>
      </c>
      <c r="K154" s="134">
        <f>D154-114199.9</f>
        <v>83845.69999999998</v>
      </c>
      <c r="L154" s="156"/>
    </row>
    <row r="155" spans="1:12" ht="18.75">
      <c r="A155" s="13" t="s">
        <v>5</v>
      </c>
      <c r="B155" s="46">
        <f>B8+B20+B34+B52+B60+B91+B115+B120+B46+B142+B133+B103</f>
        <v>149465.5</v>
      </c>
      <c r="C155" s="46">
        <f>C8+C20+C34+C52+C60+C91+C115+C120+C46+C142+C133+C103</f>
        <v>226542.90000000002</v>
      </c>
      <c r="D155" s="46">
        <f>D8+D20+D34+D52+D60+D91+D115+D120+D46+D142+D133+D103</f>
        <v>109497.59999999999</v>
      </c>
      <c r="E155" s="4">
        <f>D155/D154*100</f>
        <v>55.28908493801428</v>
      </c>
      <c r="F155" s="4">
        <f aca="true" t="shared" si="20" ref="F155:F160">D155/B155*100</f>
        <v>73.25944783244293</v>
      </c>
      <c r="G155" s="4">
        <f t="shared" si="18"/>
        <v>48.33415657696621</v>
      </c>
      <c r="H155" s="47">
        <f aca="true" t="shared" si="21" ref="H155:H160">B155-D155</f>
        <v>39967.90000000001</v>
      </c>
      <c r="I155" s="57">
        <f t="shared" si="19"/>
        <v>117045.30000000003</v>
      </c>
      <c r="K155" s="152"/>
      <c r="L155" s="156"/>
    </row>
    <row r="156" spans="1:12" ht="18.75">
      <c r="A156" s="13" t="s">
        <v>0</v>
      </c>
      <c r="B156" s="161">
        <f>B11+B23+B36+B55+B62+B92+B49+B143+B109+B112+B96+B140+B129</f>
        <v>24915.900000000005</v>
      </c>
      <c r="C156" s="161">
        <f>C11+C23+C36+C55+C62+C92+C49+C143+C109+C112+C96+C140+C129</f>
        <v>35366.6</v>
      </c>
      <c r="D156" s="161">
        <f>D11+D23+D36+D55+D62+D92+D49+D143+D109+D112+D96+D140+D129</f>
        <v>5020.599999999999</v>
      </c>
      <c r="E156" s="4">
        <f>D156/D154*100</f>
        <v>2.5350727307246412</v>
      </c>
      <c r="F156" s="4">
        <f t="shared" si="20"/>
        <v>20.15018522309047</v>
      </c>
      <c r="G156" s="4">
        <f t="shared" si="18"/>
        <v>14.195879728331247</v>
      </c>
      <c r="H156" s="47">
        <f>B156-D156</f>
        <v>19895.300000000007</v>
      </c>
      <c r="I156" s="57">
        <f t="shared" si="19"/>
        <v>30346</v>
      </c>
      <c r="K156" s="152"/>
      <c r="L156" s="157"/>
    </row>
    <row r="157" spans="1:12" ht="18.75">
      <c r="A157" s="13" t="s">
        <v>1</v>
      </c>
      <c r="B157" s="162">
        <f>B22+B10+B54+B48+B61+B35+B124</f>
        <v>9271.3</v>
      </c>
      <c r="C157" s="162">
        <f>C22+C10+C54+C48+C61+C35+C124</f>
        <v>13639.7</v>
      </c>
      <c r="D157" s="162">
        <f>D22+D10+D54+D48+D61+D35+D124</f>
        <v>4208.7</v>
      </c>
      <c r="E157" s="4">
        <f>D157/D154*100</f>
        <v>2.1251166398041663</v>
      </c>
      <c r="F157" s="4">
        <f t="shared" si="20"/>
        <v>45.39492843506305</v>
      </c>
      <c r="G157" s="4">
        <f t="shared" si="18"/>
        <v>30.85625050404334</v>
      </c>
      <c r="H157" s="47">
        <f t="shared" si="21"/>
        <v>5062.599999999999</v>
      </c>
      <c r="I157" s="57">
        <f t="shared" si="19"/>
        <v>9431</v>
      </c>
      <c r="K157" s="152"/>
      <c r="L157" s="156"/>
    </row>
    <row r="158" spans="1:12" ht="21" customHeight="1">
      <c r="A158" s="13" t="s">
        <v>14</v>
      </c>
      <c r="B158" s="162">
        <f>B12+B24+B104+B63+B38+B93+B131+B56+B138+B118</f>
        <v>12267.899999999998</v>
      </c>
      <c r="C158" s="162">
        <f>C12+C24+C104+C63+C38+C93+C131+C56+C138+C118</f>
        <v>18430.100000000002</v>
      </c>
      <c r="D158" s="162">
        <f>D12+D24+D104+D63+D38+D93+D131+D56+D138+D118</f>
        <v>5489.900000000001</v>
      </c>
      <c r="E158" s="4">
        <f>D158/D154*100</f>
        <v>2.7720383588426105</v>
      </c>
      <c r="F158" s="4">
        <f t="shared" si="20"/>
        <v>44.75012023247664</v>
      </c>
      <c r="G158" s="4">
        <f t="shared" si="18"/>
        <v>29.78768427735064</v>
      </c>
      <c r="H158" s="47">
        <f>B158-D158</f>
        <v>6777.999999999997</v>
      </c>
      <c r="I158" s="57">
        <f t="shared" si="19"/>
        <v>12940.2</v>
      </c>
      <c r="K158" s="152"/>
      <c r="L158" s="157"/>
    </row>
    <row r="159" spans="1:12" ht="18.75">
      <c r="A159" s="13" t="s">
        <v>2</v>
      </c>
      <c r="B159" s="46">
        <f>B9+B21+B47+B53+B123</f>
        <v>16.3</v>
      </c>
      <c r="C159" s="46">
        <f>C9+C21+C47+C53+C123</f>
        <v>16.3</v>
      </c>
      <c r="D159" s="46">
        <f>D9+D21+D47+D53+D123</f>
        <v>16.3</v>
      </c>
      <c r="E159" s="4">
        <f>D159/D154*100</f>
        <v>0.008230427739874051</v>
      </c>
      <c r="F159" s="4">
        <f t="shared" si="20"/>
        <v>100</v>
      </c>
      <c r="G159" s="4">
        <f t="shared" si="18"/>
        <v>100</v>
      </c>
      <c r="H159" s="47">
        <f t="shared" si="21"/>
        <v>0</v>
      </c>
      <c r="I159" s="57">
        <f t="shared" si="19"/>
        <v>0</v>
      </c>
      <c r="K159" s="152"/>
      <c r="L159" s="156"/>
    </row>
    <row r="160" spans="1:12" ht="19.5" thickBot="1">
      <c r="A160" s="79" t="s">
        <v>27</v>
      </c>
      <c r="B160" s="59">
        <f>B154-B155-B156-B157-B158-B159</f>
        <v>119858.40000000001</v>
      </c>
      <c r="C160" s="59">
        <f>C154-C155-C156-C157-C158-C159</f>
        <v>175437.79999999993</v>
      </c>
      <c r="D160" s="59">
        <f>D154-D155-D156-D157-D158-D159</f>
        <v>73812.49999999999</v>
      </c>
      <c r="E160" s="26">
        <f>D160/D154*100</f>
        <v>37.270456904874436</v>
      </c>
      <c r="F160" s="26">
        <f t="shared" si="20"/>
        <v>61.58308470662046</v>
      </c>
      <c r="G160" s="26">
        <f t="shared" si="18"/>
        <v>42.073316012854704</v>
      </c>
      <c r="H160" s="80">
        <f t="shared" si="21"/>
        <v>46045.90000000002</v>
      </c>
      <c r="I160" s="80">
        <f t="shared" si="19"/>
        <v>101625.29999999994</v>
      </c>
      <c r="K160" s="152"/>
      <c r="L160" s="157"/>
    </row>
    <row r="161" spans="7:8" ht="12.75">
      <c r="G161" s="158"/>
      <c r="H161" s="158"/>
    </row>
    <row r="162" spans="3:11" ht="12.75">
      <c r="C162" s="152"/>
      <c r="G162" s="158"/>
      <c r="H162" s="158"/>
      <c r="I162" s="158"/>
      <c r="K162" s="159"/>
    </row>
    <row r="163" spans="4:11" ht="12.75">
      <c r="D163" s="152"/>
      <c r="G163" s="158"/>
      <c r="H163" s="158"/>
      <c r="K163" s="159"/>
    </row>
    <row r="164" spans="7:11" ht="12.75">
      <c r="G164" s="158"/>
      <c r="H164" s="158"/>
      <c r="K164" s="159"/>
    </row>
    <row r="165" spans="2:8" ht="12.75">
      <c r="B165" s="160"/>
      <c r="C165" s="160"/>
      <c r="D165" s="152"/>
      <c r="G165" s="158"/>
      <c r="H165" s="158"/>
    </row>
    <row r="166" spans="7:8" ht="12.75">
      <c r="G166" s="158"/>
      <c r="H166" s="158"/>
    </row>
    <row r="167" spans="2:8" ht="12.75">
      <c r="B167" s="160"/>
      <c r="C167" s="160"/>
      <c r="D167" s="160"/>
      <c r="G167" s="158"/>
      <c r="H167" s="158"/>
    </row>
    <row r="168" spans="2:8" ht="12.75">
      <c r="B168" s="160"/>
      <c r="G168" s="158"/>
      <c r="H168" s="158"/>
    </row>
    <row r="169" spans="2:8" ht="12.75">
      <c r="B169" s="160"/>
      <c r="C169" s="152"/>
      <c r="G169" s="158"/>
      <c r="H169" s="158"/>
    </row>
    <row r="170" spans="7:8" ht="12.75"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3:8" ht="12.75">
      <c r="C175" s="152"/>
      <c r="G175" s="158"/>
      <c r="H175" s="158"/>
    </row>
    <row r="176" spans="7:8" ht="12.75"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2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00"/>
  <sheetViews>
    <sheetView tabSelected="1" view="pageBreakPreview" zoomScale="85" zoomScaleNormal="80" zoomScaleSheetLayoutView="85" workbookViewId="0" topLeftCell="A1">
      <selection activeCell="K147" sqref="K147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3" width="11.00390625" style="136" bestFit="1" customWidth="1"/>
    <col min="14" max="16" width="9.125" style="136" customWidth="1"/>
    <col min="17" max="17" width="11.375" style="136" bestFit="1" customWidth="1"/>
    <col min="18" max="16384" width="9.125" style="136" customWidth="1"/>
  </cols>
  <sheetData>
    <row r="1" spans="1:9" ht="66.75" customHeight="1">
      <c r="A1" s="171" t="s">
        <v>113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5"/>
      <c r="B2" s="15"/>
      <c r="C2" s="8"/>
      <c r="D2" s="8"/>
      <c r="E2" s="8"/>
      <c r="F2" s="8"/>
      <c r="G2" s="8"/>
      <c r="H2" s="8"/>
    </row>
    <row r="3" spans="1:9" ht="29.25" customHeight="1">
      <c r="A3" s="175" t="s">
        <v>37</v>
      </c>
      <c r="B3" s="178" t="s">
        <v>114</v>
      </c>
      <c r="C3" s="172" t="s">
        <v>115</v>
      </c>
      <c r="D3" s="172" t="s">
        <v>22</v>
      </c>
      <c r="E3" s="172" t="s">
        <v>21</v>
      </c>
      <c r="F3" s="172" t="s">
        <v>116</v>
      </c>
      <c r="G3" s="172" t="s">
        <v>117</v>
      </c>
      <c r="H3" s="172" t="s">
        <v>118</v>
      </c>
      <c r="I3" s="172" t="s">
        <v>119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150"/>
    </row>
    <row r="6" spans="1:11" ht="18.75" thickBot="1">
      <c r="A6" s="16" t="s">
        <v>26</v>
      </c>
      <c r="B6" s="33">
        <v>166896.8</v>
      </c>
      <c r="C6" s="34">
        <v>913995.7</v>
      </c>
      <c r="D6" s="35">
        <f>11099.2+9623.1+1.9+134.7+531.1+44.4+1464.8+43.3+356.7+16648.5+1044.7+22.2+15069.2+2403.3+273.5+220.6+39.4+2669.9+423.4+804.7+85+14514.4+10510.2+446+2528.1+222.7+0.8+3854.8+741.1+3541.7+24275+12398.6+1128.8-92.4+0.2</f>
        <v>137073.6</v>
      </c>
      <c r="E6" s="3">
        <f>D6/D155*100</f>
        <v>43.22646991208294</v>
      </c>
      <c r="F6" s="3">
        <f>D6/B6*100</f>
        <v>82.13075385507692</v>
      </c>
      <c r="G6" s="3">
        <f aca="true" t="shared" si="0" ref="G6:G43">D6/C6*100</f>
        <v>14.997182153045141</v>
      </c>
      <c r="H6" s="35">
        <f>B6-D6</f>
        <v>29823.199999999983</v>
      </c>
      <c r="I6" s="35">
        <f aca="true" t="shared" si="1" ref="I6:I43">C6-D6</f>
        <v>776922.1</v>
      </c>
      <c r="J6" s="151"/>
      <c r="K6" s="152">
        <f>H6-H7</f>
        <v>17634.099999999984</v>
      </c>
    </row>
    <row r="7" spans="1:12" s="83" customFormat="1" ht="18.75">
      <c r="A7" s="126" t="s">
        <v>78</v>
      </c>
      <c r="B7" s="127">
        <v>46039.2</v>
      </c>
      <c r="C7" s="128">
        <v>298956.2</v>
      </c>
      <c r="D7" s="129">
        <f>9623.1+1044.7+273.5+10510.2+12398.6</f>
        <v>33850.1</v>
      </c>
      <c r="E7" s="130">
        <f>D7/D6*100</f>
        <v>24.69483547524833</v>
      </c>
      <c r="F7" s="130">
        <f>D7/B7*100</f>
        <v>73.52451823663313</v>
      </c>
      <c r="G7" s="130">
        <f>D7/C7*100</f>
        <v>11.322762331070571</v>
      </c>
      <c r="H7" s="129">
        <f>B7-D7</f>
        <v>12189.099999999999</v>
      </c>
      <c r="I7" s="129">
        <f t="shared" si="1"/>
        <v>265106.10000000003</v>
      </c>
      <c r="J7" s="146"/>
      <c r="K7" s="152"/>
      <c r="L7" s="125"/>
    </row>
    <row r="8" spans="1:12" s="150" customFormat="1" ht="18">
      <c r="A8" s="90" t="s">
        <v>3</v>
      </c>
      <c r="B8" s="112">
        <v>115413</v>
      </c>
      <c r="C8" s="113">
        <v>726684.4</v>
      </c>
      <c r="D8" s="92">
        <f>20722.3+1.9+16592.9+1044.7+15069.2+2403.3+273.5+14243.2+10510.2+12398.6+19789.8</f>
        <v>113049.6</v>
      </c>
      <c r="E8" s="94">
        <f>D8/D6*100</f>
        <v>82.47364919284239</v>
      </c>
      <c r="F8" s="94">
        <f>D8/B8*100</f>
        <v>97.95222375295678</v>
      </c>
      <c r="G8" s="94">
        <f t="shared" si="0"/>
        <v>15.556904758104068</v>
      </c>
      <c r="H8" s="92">
        <f>B8-D8</f>
        <v>2363.399999999994</v>
      </c>
      <c r="I8" s="92">
        <f t="shared" si="1"/>
        <v>613634.8</v>
      </c>
      <c r="J8" s="151"/>
      <c r="K8" s="152"/>
      <c r="L8" s="125"/>
    </row>
    <row r="9" spans="1:12" s="150" customFormat="1" ht="18">
      <c r="A9" s="90" t="s">
        <v>2</v>
      </c>
      <c r="B9" s="112">
        <v>16.3</v>
      </c>
      <c r="C9" s="113">
        <v>104.9</v>
      </c>
      <c r="D9" s="92">
        <v>16.3</v>
      </c>
      <c r="E9" s="114">
        <f>D9/D6*100</f>
        <v>0.011891421834693187</v>
      </c>
      <c r="F9" s="94">
        <f>D9/B9*100</f>
        <v>100</v>
      </c>
      <c r="G9" s="94">
        <f t="shared" si="0"/>
        <v>15.538608198284079</v>
      </c>
      <c r="H9" s="92">
        <f aca="true" t="shared" si="2" ref="H9:H43">B9-D9</f>
        <v>0</v>
      </c>
      <c r="I9" s="92">
        <f t="shared" si="1"/>
        <v>88.60000000000001</v>
      </c>
      <c r="J9" s="151"/>
      <c r="K9" s="152"/>
      <c r="L9" s="125"/>
    </row>
    <row r="10" spans="1:12" s="150" customFormat="1" ht="18">
      <c r="A10" s="90" t="s">
        <v>1</v>
      </c>
      <c r="B10" s="112">
        <v>9469.9</v>
      </c>
      <c r="C10" s="113">
        <v>43439.8</v>
      </c>
      <c r="D10" s="131">
        <f>525.8+44.4+601.2+43.3+356.4+55.6+22.2+1183.8+262+357.1+64+47.5+133.7+449.5+46.4+224.9+741.1+480.4+382.5-93.5+0.2</f>
        <v>5928.499999999999</v>
      </c>
      <c r="E10" s="94">
        <f>D10/D6*100</f>
        <v>4.325048732943469</v>
      </c>
      <c r="F10" s="94">
        <f aca="true" t="shared" si="3" ref="F10:F41">D10/B10*100</f>
        <v>62.60361777843483</v>
      </c>
      <c r="G10" s="94">
        <f t="shared" si="0"/>
        <v>13.647622687028942</v>
      </c>
      <c r="H10" s="92">
        <f t="shared" si="2"/>
        <v>3541.4000000000005</v>
      </c>
      <c r="I10" s="92">
        <f t="shared" si="1"/>
        <v>37511.3</v>
      </c>
      <c r="J10" s="151"/>
      <c r="K10" s="152"/>
      <c r="L10" s="125"/>
    </row>
    <row r="11" spans="1:12" s="150" customFormat="1" ht="18">
      <c r="A11" s="90" t="s">
        <v>0</v>
      </c>
      <c r="B11" s="112">
        <v>35399.2</v>
      </c>
      <c r="C11" s="113">
        <v>98224.3</v>
      </c>
      <c r="D11" s="132">
        <f>39.4+1482.5+161.1+446.7+223.7+143.2+2067.6+42+0.7+3077.2+2292.1+4098.5+884.8+1.1</f>
        <v>14960.599999999999</v>
      </c>
      <c r="E11" s="94">
        <f>D11/D6*100</f>
        <v>10.914282546019072</v>
      </c>
      <c r="F11" s="94">
        <f t="shared" si="3"/>
        <v>42.26253700648602</v>
      </c>
      <c r="G11" s="94">
        <f t="shared" si="0"/>
        <v>15.231057895042262</v>
      </c>
      <c r="H11" s="92">
        <f t="shared" si="2"/>
        <v>20438.6</v>
      </c>
      <c r="I11" s="92">
        <f t="shared" si="1"/>
        <v>83263.70000000001</v>
      </c>
      <c r="J11" s="151"/>
      <c r="K11" s="152"/>
      <c r="L11" s="125"/>
    </row>
    <row r="12" spans="1:12" s="150" customFormat="1" ht="18">
      <c r="A12" s="90" t="s">
        <v>14</v>
      </c>
      <c r="B12" s="112">
        <v>2225.2</v>
      </c>
      <c r="C12" s="113">
        <v>13016.5</v>
      </c>
      <c r="D12" s="92">
        <f>134.7+863.6+21+169+134.3+503.1+242.3</f>
        <v>2068</v>
      </c>
      <c r="E12" s="94">
        <f>D12/D6*100</f>
        <v>1.5086785493340802</v>
      </c>
      <c r="F12" s="94">
        <f t="shared" si="3"/>
        <v>92.93546647492362</v>
      </c>
      <c r="G12" s="94">
        <f t="shared" si="0"/>
        <v>15.88752736910844</v>
      </c>
      <c r="H12" s="92">
        <f>B12-D12</f>
        <v>157.19999999999982</v>
      </c>
      <c r="I12" s="92">
        <f t="shared" si="1"/>
        <v>10948.5</v>
      </c>
      <c r="J12" s="151"/>
      <c r="K12" s="152"/>
      <c r="L12" s="125"/>
    </row>
    <row r="13" spans="1:12" s="150" customFormat="1" ht="18.75" thickBot="1">
      <c r="A13" s="90" t="s">
        <v>27</v>
      </c>
      <c r="B13" s="113">
        <f>B6-B8-B9-B10-B11-B12</f>
        <v>4373.199999999987</v>
      </c>
      <c r="C13" s="113">
        <f>C6-C8-C9-C10-C11-C12</f>
        <v>32525.799999999916</v>
      </c>
      <c r="D13" s="113">
        <f>D6-D8-D9-D10-D11-D12</f>
        <v>1050.6000000000022</v>
      </c>
      <c r="E13" s="94">
        <f>D13/D6*100</f>
        <v>0.7664495570262999</v>
      </c>
      <c r="F13" s="94">
        <f t="shared" si="3"/>
        <v>24.0235982804355</v>
      </c>
      <c r="G13" s="94">
        <f t="shared" si="0"/>
        <v>3.2300512208769803</v>
      </c>
      <c r="H13" s="92">
        <f t="shared" si="2"/>
        <v>3322.599999999985</v>
      </c>
      <c r="I13" s="92">
        <f t="shared" si="1"/>
        <v>31475.199999999913</v>
      </c>
      <c r="J13" s="151"/>
      <c r="K13" s="152"/>
      <c r="L13" s="125"/>
    </row>
    <row r="14" spans="1:13" s="27" customFormat="1" ht="18.75" customHeight="1" hidden="1">
      <c r="A14" s="68" t="s">
        <v>58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71">
        <f>B14-D14</f>
        <v>0</v>
      </c>
      <c r="I14" s="71">
        <f>C14-D14</f>
        <v>0</v>
      </c>
      <c r="J14" s="146"/>
      <c r="K14" s="136"/>
      <c r="L14" s="136"/>
      <c r="M14" s="136"/>
    </row>
    <row r="15" spans="1:13" s="27" customFormat="1" ht="18.75" customHeight="1" hidden="1">
      <c r="A15" s="68" t="s">
        <v>55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71">
        <f>B15-D15</f>
        <v>0</v>
      </c>
      <c r="I15" s="71">
        <f>C15-D15</f>
        <v>0</v>
      </c>
      <c r="J15" s="146"/>
      <c r="K15" s="136"/>
      <c r="L15" s="136"/>
      <c r="M15" s="136"/>
    </row>
    <row r="16" spans="1:13" s="27" customFormat="1" ht="19.5" hidden="1" thickBot="1">
      <c r="A16" s="68" t="s">
        <v>56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71">
        <f>B16-D16</f>
        <v>0</v>
      </c>
      <c r="I16" s="71">
        <f>C16-D16</f>
        <v>0</v>
      </c>
      <c r="J16" s="146"/>
      <c r="K16" s="136"/>
      <c r="L16" s="136"/>
      <c r="M16" s="136"/>
    </row>
    <row r="17" spans="1:13" s="27" customFormat="1" ht="19.5" hidden="1" thickBot="1">
      <c r="A17" s="68" t="s">
        <v>57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71">
        <f>B17-D17</f>
        <v>0</v>
      </c>
      <c r="I17" s="71">
        <f>C17-D17</f>
        <v>0</v>
      </c>
      <c r="J17" s="146"/>
      <c r="K17" s="136"/>
      <c r="L17" s="136"/>
      <c r="M17" s="136"/>
    </row>
    <row r="18" spans="1:11" ht="18.75" thickBot="1">
      <c r="A18" s="16" t="s">
        <v>19</v>
      </c>
      <c r="B18" s="33">
        <v>63175.6</v>
      </c>
      <c r="C18" s="34">
        <v>417020.2</v>
      </c>
      <c r="D18" s="35">
        <f>9880.4+236.6+6978.3+6921+371.7+499.9+9964.9+4030.7+430.2+29.9+505.9+258.6+9247.5+5793.8+177.6-0.3</f>
        <v>55326.7</v>
      </c>
      <c r="E18" s="3">
        <f>D18/D155*100</f>
        <v>17.447400030967593</v>
      </c>
      <c r="F18" s="3">
        <f>D18/B18*100</f>
        <v>87.57605784511742</v>
      </c>
      <c r="G18" s="3">
        <f t="shared" si="0"/>
        <v>13.267151087645153</v>
      </c>
      <c r="H18" s="35">
        <f>B18-D18</f>
        <v>7848.9000000000015</v>
      </c>
      <c r="I18" s="35">
        <f t="shared" si="1"/>
        <v>361693.5</v>
      </c>
      <c r="J18" s="151"/>
      <c r="K18" s="152">
        <f>H18-H19</f>
        <v>7758.100000000006</v>
      </c>
    </row>
    <row r="19" spans="1:13" s="83" customFormat="1" ht="18.75">
      <c r="A19" s="126" t="s">
        <v>79</v>
      </c>
      <c r="B19" s="127">
        <v>34076.2</v>
      </c>
      <c r="C19" s="128">
        <v>204458.2</v>
      </c>
      <c r="D19" s="129">
        <f>9880.4+236.6+6921+499.9+9964.9+430.2+258.6+5793.8</f>
        <v>33985.4</v>
      </c>
      <c r="E19" s="130">
        <f>D19/D18*100</f>
        <v>61.426761400914934</v>
      </c>
      <c r="F19" s="130">
        <f t="shared" si="3"/>
        <v>99.73353836401948</v>
      </c>
      <c r="G19" s="130">
        <f t="shared" si="0"/>
        <v>16.622175094958287</v>
      </c>
      <c r="H19" s="129">
        <f t="shared" si="2"/>
        <v>90.79999999999563</v>
      </c>
      <c r="I19" s="129">
        <f t="shared" si="1"/>
        <v>170472.80000000002</v>
      </c>
      <c r="J19" s="146"/>
      <c r="K19" s="152"/>
      <c r="L19" s="150"/>
      <c r="M19" s="150"/>
    </row>
    <row r="20" spans="1:11" s="150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1"/>
      <c r="K20" s="152">
        <f>C20-B20</f>
        <v>0</v>
      </c>
    </row>
    <row r="21" spans="1:11" s="150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1"/>
      <c r="K21" s="152">
        <f>C21-B21</f>
        <v>0</v>
      </c>
    </row>
    <row r="22" spans="1:11" s="150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1"/>
      <c r="K22" s="152">
        <f>C22-B22</f>
        <v>0</v>
      </c>
    </row>
    <row r="23" spans="1:11" s="150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1"/>
      <c r="K23" s="152">
        <f>C23-B23</f>
        <v>0</v>
      </c>
    </row>
    <row r="24" spans="1:11" s="150" customFormat="1" ht="18">
      <c r="A24" s="90" t="s">
        <v>14</v>
      </c>
      <c r="B24" s="112">
        <v>90.9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90.9</v>
      </c>
      <c r="I24" s="92">
        <f t="shared" si="1"/>
        <v>999.4</v>
      </c>
      <c r="J24" s="151"/>
      <c r="K24" s="152">
        <f>C24-B24</f>
        <v>908.5</v>
      </c>
    </row>
    <row r="25" spans="1:11" s="150" customFormat="1" ht="18.75" thickBot="1">
      <c r="A25" s="90" t="s">
        <v>27</v>
      </c>
      <c r="B25" s="113">
        <f>B18-B24</f>
        <v>63084.7</v>
      </c>
      <c r="C25" s="113">
        <f>C18-C24</f>
        <v>416020.8</v>
      </c>
      <c r="D25" s="113">
        <f>D18-D24</f>
        <v>55326.7</v>
      </c>
      <c r="E25" s="94">
        <f>D25/D18*100</f>
        <v>100</v>
      </c>
      <c r="F25" s="94">
        <f t="shared" si="3"/>
        <v>87.70224793016374</v>
      </c>
      <c r="G25" s="94">
        <f t="shared" si="0"/>
        <v>13.299022548872555</v>
      </c>
      <c r="H25" s="92">
        <f>B25-D25</f>
        <v>7758</v>
      </c>
      <c r="I25" s="92">
        <f t="shared" si="1"/>
        <v>360694.1</v>
      </c>
      <c r="J25" s="151"/>
      <c r="K25" s="152"/>
    </row>
    <row r="26" spans="1:11" ht="57" hidden="1" thickBot="1">
      <c r="A26" s="68" t="s">
        <v>66</v>
      </c>
      <c r="B26" s="31"/>
      <c r="C26" s="31"/>
      <c r="D26" s="31"/>
      <c r="E26" s="1"/>
      <c r="F26" s="1" t="e">
        <f t="shared" si="3"/>
        <v>#DIV/0!</v>
      </c>
      <c r="G26" s="1" t="e">
        <f t="shared" si="0"/>
        <v>#DIV/0!</v>
      </c>
      <c r="H26" s="32">
        <f t="shared" si="2"/>
        <v>0</v>
      </c>
      <c r="I26" s="32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8" t="s">
        <v>67</v>
      </c>
      <c r="B27" s="31"/>
      <c r="C27" s="31"/>
      <c r="D27" s="31"/>
      <c r="E27" s="1"/>
      <c r="F27" s="1" t="e">
        <f t="shared" si="3"/>
        <v>#DIV/0!</v>
      </c>
      <c r="G27" s="1" t="e">
        <f t="shared" si="0"/>
        <v>#DIV/0!</v>
      </c>
      <c r="H27" s="32">
        <f t="shared" si="2"/>
        <v>0</v>
      </c>
      <c r="I27" s="32">
        <f t="shared" si="1"/>
        <v>0</v>
      </c>
      <c r="J27" s="151"/>
      <c r="K27" s="152">
        <f t="shared" si="4"/>
        <v>0</v>
      </c>
    </row>
    <row r="28" spans="1:11" ht="19.5" hidden="1" thickBot="1">
      <c r="A28" s="68" t="s">
        <v>68</v>
      </c>
      <c r="B28" s="31"/>
      <c r="C28" s="31"/>
      <c r="D28" s="31"/>
      <c r="E28" s="1"/>
      <c r="F28" s="1" t="e">
        <f t="shared" si="3"/>
        <v>#DIV/0!</v>
      </c>
      <c r="G28" s="1" t="e">
        <f t="shared" si="0"/>
        <v>#DIV/0!</v>
      </c>
      <c r="H28" s="32">
        <f t="shared" si="2"/>
        <v>0</v>
      </c>
      <c r="I28" s="32">
        <f t="shared" si="1"/>
        <v>0</v>
      </c>
      <c r="J28" s="151"/>
      <c r="K28" s="152">
        <f t="shared" si="4"/>
        <v>0</v>
      </c>
    </row>
    <row r="29" spans="1:11" ht="39.75" customHeight="1" hidden="1">
      <c r="A29" s="68" t="s">
        <v>69</v>
      </c>
      <c r="B29" s="31"/>
      <c r="C29" s="31"/>
      <c r="D29" s="31"/>
      <c r="E29" s="1"/>
      <c r="F29" s="1" t="e">
        <f t="shared" si="3"/>
        <v>#DIV/0!</v>
      </c>
      <c r="G29" s="1" t="e">
        <f t="shared" si="0"/>
        <v>#DIV/0!</v>
      </c>
      <c r="H29" s="32">
        <f t="shared" si="2"/>
        <v>0</v>
      </c>
      <c r="I29" s="32">
        <f t="shared" si="1"/>
        <v>0</v>
      </c>
      <c r="J29" s="151"/>
      <c r="K29" s="152">
        <f t="shared" si="4"/>
        <v>0</v>
      </c>
    </row>
    <row r="30" spans="1:11" ht="37.5" customHeight="1" hidden="1">
      <c r="A30" s="68" t="s">
        <v>70</v>
      </c>
      <c r="B30" s="31"/>
      <c r="C30" s="31"/>
      <c r="D30" s="31"/>
      <c r="E30" s="1"/>
      <c r="F30" s="1" t="e">
        <f>D30/B30*100</f>
        <v>#DIV/0!</v>
      </c>
      <c r="G30" s="1" t="e">
        <f t="shared" si="0"/>
        <v>#DIV/0!</v>
      </c>
      <c r="H30" s="32">
        <f t="shared" si="2"/>
        <v>0</v>
      </c>
      <c r="I30" s="32">
        <f t="shared" si="1"/>
        <v>0</v>
      </c>
      <c r="J30" s="151"/>
      <c r="K30" s="152">
        <f t="shared" si="4"/>
        <v>0</v>
      </c>
    </row>
    <row r="31" spans="1:11" ht="36" customHeight="1" hidden="1">
      <c r="A31" s="68" t="s">
        <v>71</v>
      </c>
      <c r="B31" s="31"/>
      <c r="C31" s="31"/>
      <c r="D31" s="31"/>
      <c r="E31" s="1"/>
      <c r="F31" s="1" t="e">
        <f t="shared" si="3"/>
        <v>#DIV/0!</v>
      </c>
      <c r="G31" s="1" t="e">
        <f t="shared" si="0"/>
        <v>#DIV/0!</v>
      </c>
      <c r="H31" s="32">
        <f t="shared" si="2"/>
        <v>0</v>
      </c>
      <c r="I31" s="32">
        <f t="shared" si="1"/>
        <v>0</v>
      </c>
      <c r="J31" s="151"/>
      <c r="K31" s="152">
        <f t="shared" si="4"/>
        <v>0</v>
      </c>
    </row>
    <row r="32" spans="1:11" ht="19.5" hidden="1" thickBot="1">
      <c r="A32" s="68" t="s">
        <v>72</v>
      </c>
      <c r="B32" s="31"/>
      <c r="C32" s="31"/>
      <c r="D32" s="31"/>
      <c r="E32" s="1"/>
      <c r="F32" s="1" t="e">
        <f t="shared" si="3"/>
        <v>#DIV/0!</v>
      </c>
      <c r="G32" s="1" t="e">
        <f t="shared" si="0"/>
        <v>#DIV/0!</v>
      </c>
      <c r="H32" s="32">
        <f t="shared" si="2"/>
        <v>0</v>
      </c>
      <c r="I32" s="32">
        <f t="shared" si="1"/>
        <v>0</v>
      </c>
      <c r="J32" s="151"/>
      <c r="K32" s="152">
        <f t="shared" si="4"/>
        <v>0</v>
      </c>
    </row>
    <row r="33" spans="1:11" ht="18.75" thickBot="1">
      <c r="A33" s="16" t="s">
        <v>17</v>
      </c>
      <c r="B33" s="33">
        <v>3957.8</v>
      </c>
      <c r="C33" s="34">
        <v>26954.8</v>
      </c>
      <c r="D33" s="37">
        <f>238.4+293+43.5+2+39.3+520.9+174.4+181.2+85.5+20.9+137.9+290.2+173.9+53.1+2.1+1.1+14+954.2-0.1</f>
        <v>3225.5000000000005</v>
      </c>
      <c r="E33" s="3">
        <f>D33/D155*100</f>
        <v>1.0171687232364477</v>
      </c>
      <c r="F33" s="3">
        <f>D33/B33*100</f>
        <v>81.49729647784123</v>
      </c>
      <c r="G33" s="3">
        <f t="shared" si="0"/>
        <v>11.966328817130902</v>
      </c>
      <c r="H33" s="35">
        <f t="shared" si="2"/>
        <v>732.2999999999997</v>
      </c>
      <c r="I33" s="35">
        <f t="shared" si="1"/>
        <v>23729.3</v>
      </c>
      <c r="J33" s="151"/>
      <c r="K33" s="152"/>
    </row>
    <row r="34" spans="1:11" s="150" customFormat="1" ht="18">
      <c r="A34" s="90" t="s">
        <v>3</v>
      </c>
      <c r="B34" s="112">
        <v>2212.8</v>
      </c>
      <c r="C34" s="113">
        <v>14255.8</v>
      </c>
      <c r="D34" s="92">
        <f>95.5+254.3+520.9+145.6+77.4+290.2+14+629.4</f>
        <v>2027.3000000000002</v>
      </c>
      <c r="E34" s="94">
        <f>D34/D33*100</f>
        <v>62.85227096574174</v>
      </c>
      <c r="F34" s="94">
        <f t="shared" si="3"/>
        <v>91.61695589298627</v>
      </c>
      <c r="G34" s="94">
        <f t="shared" si="0"/>
        <v>14.220878519620086</v>
      </c>
      <c r="H34" s="92">
        <f t="shared" si="2"/>
        <v>185.5</v>
      </c>
      <c r="I34" s="92">
        <f t="shared" si="1"/>
        <v>12228.5</v>
      </c>
      <c r="J34" s="151"/>
      <c r="K34" s="152"/>
    </row>
    <row r="35" spans="1:11" s="150" customFormat="1" ht="18">
      <c r="A35" s="90" t="s">
        <v>1</v>
      </c>
      <c r="B35" s="112">
        <v>12</v>
      </c>
      <c r="C35" s="113">
        <v>87.1</v>
      </c>
      <c r="D35" s="92">
        <f>10+2</f>
        <v>12</v>
      </c>
      <c r="E35" s="94">
        <f>D35/D33*100</f>
        <v>0.37203534335761895</v>
      </c>
      <c r="F35" s="94">
        <f t="shared" si="3"/>
        <v>100</v>
      </c>
      <c r="G35" s="94">
        <f t="shared" si="0"/>
        <v>13.777267508610795</v>
      </c>
      <c r="H35" s="92">
        <f t="shared" si="2"/>
        <v>0</v>
      </c>
      <c r="I35" s="92">
        <f t="shared" si="1"/>
        <v>75.1</v>
      </c>
      <c r="J35" s="151"/>
      <c r="K35" s="152"/>
    </row>
    <row r="36" spans="1:11" s="150" customFormat="1" ht="18">
      <c r="A36" s="90" t="s">
        <v>0</v>
      </c>
      <c r="B36" s="112">
        <v>474.5</v>
      </c>
      <c r="C36" s="113">
        <v>2087.8</v>
      </c>
      <c r="D36" s="92">
        <f>1.1+273.8</f>
        <v>274.90000000000003</v>
      </c>
      <c r="E36" s="94">
        <f>D36/D33*100</f>
        <v>8.522709657417455</v>
      </c>
      <c r="F36" s="94">
        <f t="shared" si="3"/>
        <v>57.934668071654386</v>
      </c>
      <c r="G36" s="94">
        <f t="shared" si="0"/>
        <v>13.166970016285084</v>
      </c>
      <c r="H36" s="92">
        <f t="shared" si="2"/>
        <v>199.59999999999997</v>
      </c>
      <c r="I36" s="92">
        <f t="shared" si="1"/>
        <v>1812.9</v>
      </c>
      <c r="J36" s="151"/>
      <c r="K36" s="152"/>
    </row>
    <row r="37" spans="1:12" s="83" customFormat="1" ht="18.75">
      <c r="A37" s="103" t="s">
        <v>7</v>
      </c>
      <c r="B37" s="123">
        <v>47.7</v>
      </c>
      <c r="C37" s="124">
        <v>1082.6</v>
      </c>
      <c r="D37" s="96">
        <f>38.7+2+2.3+2.6+2.1</f>
        <v>47.7</v>
      </c>
      <c r="E37" s="99">
        <f>D37/D33*100</f>
        <v>1.4788404898465353</v>
      </c>
      <c r="F37" s="99">
        <f t="shared" si="3"/>
        <v>100</v>
      </c>
      <c r="G37" s="99">
        <f t="shared" si="0"/>
        <v>4.4060594864215785</v>
      </c>
      <c r="H37" s="96">
        <f t="shared" si="2"/>
        <v>0</v>
      </c>
      <c r="I37" s="96">
        <f t="shared" si="1"/>
        <v>1034.8999999999999</v>
      </c>
      <c r="J37" s="146"/>
      <c r="K37" s="152"/>
      <c r="L37" s="125"/>
    </row>
    <row r="38" spans="1:11" s="150" customFormat="1" ht="18">
      <c r="A38" s="90" t="s">
        <v>14</v>
      </c>
      <c r="B38" s="112">
        <v>34</v>
      </c>
      <c r="C38" s="113">
        <v>221.9</v>
      </c>
      <c r="D38" s="113">
        <v>5.1</v>
      </c>
      <c r="E38" s="94">
        <f>D38/D33*100</f>
        <v>0.158115020926988</v>
      </c>
      <c r="F38" s="94">
        <f t="shared" si="3"/>
        <v>15</v>
      </c>
      <c r="G38" s="94">
        <f t="shared" si="0"/>
        <v>2.298332582244254</v>
      </c>
      <c r="H38" s="92">
        <f t="shared" si="2"/>
        <v>28.9</v>
      </c>
      <c r="I38" s="92">
        <f t="shared" si="1"/>
        <v>216.8</v>
      </c>
      <c r="J38" s="151"/>
      <c r="K38" s="152"/>
    </row>
    <row r="39" spans="1:11" s="150" customFormat="1" ht="18.75" thickBot="1">
      <c r="A39" s="90" t="s">
        <v>27</v>
      </c>
      <c r="B39" s="112">
        <f>B33-B34-B36-B37-B35-B38</f>
        <v>1176.8</v>
      </c>
      <c r="C39" s="112">
        <f>C33-C34-C36-C37-C35-C38</f>
        <v>9219.6</v>
      </c>
      <c r="D39" s="112">
        <f>D33-D34-D36-D37-D35-D38</f>
        <v>858.5000000000001</v>
      </c>
      <c r="E39" s="94">
        <f>D39/D33*100</f>
        <v>26.616028522709655</v>
      </c>
      <c r="F39" s="94">
        <f t="shared" si="3"/>
        <v>72.95207341944257</v>
      </c>
      <c r="G39" s="94">
        <f t="shared" si="0"/>
        <v>9.311683804069592</v>
      </c>
      <c r="H39" s="92">
        <f>B39-D39</f>
        <v>318.29999999999984</v>
      </c>
      <c r="I39" s="92">
        <f t="shared" si="1"/>
        <v>8361.1</v>
      </c>
      <c r="J39" s="151"/>
      <c r="K39" s="152"/>
    </row>
    <row r="40" spans="1:11" ht="19.5" hidden="1" thickBot="1">
      <c r="A40" s="68" t="s">
        <v>63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71">
        <f>B40-D40</f>
        <v>0</v>
      </c>
      <c r="I40" s="71">
        <f t="shared" si="1"/>
        <v>0</v>
      </c>
      <c r="J40" s="151"/>
      <c r="K40" s="152">
        <f>C40-B40</f>
        <v>0</v>
      </c>
    </row>
    <row r="41" spans="1:11" ht="19.5" hidden="1" thickBot="1">
      <c r="A41" s="68" t="s">
        <v>64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71">
        <f>B41-D41</f>
        <v>0</v>
      </c>
      <c r="I41" s="71">
        <f t="shared" si="1"/>
        <v>0</v>
      </c>
      <c r="J41" s="151"/>
      <c r="K41" s="152">
        <f>C41-B41</f>
        <v>0</v>
      </c>
    </row>
    <row r="42" spans="1:11" ht="19.5" hidden="1" thickBot="1">
      <c r="A42" s="68" t="s">
        <v>65</v>
      </c>
      <c r="B42" s="69"/>
      <c r="C42" s="69"/>
      <c r="D42" s="69"/>
      <c r="E42" s="67"/>
      <c r="F42" s="67"/>
      <c r="G42" s="67" t="e">
        <f t="shared" si="0"/>
        <v>#DIV/0!</v>
      </c>
      <c r="H42" s="71">
        <f>B42-D42</f>
        <v>0</v>
      </c>
      <c r="I42" s="71">
        <f t="shared" si="1"/>
        <v>0</v>
      </c>
      <c r="J42" s="151"/>
      <c r="K42" s="152">
        <f>C42-B42</f>
        <v>0</v>
      </c>
    </row>
    <row r="43" spans="1:11" ht="19.5" thickBot="1">
      <c r="A43" s="9" t="s">
        <v>16</v>
      </c>
      <c r="B43" s="70">
        <v>98</v>
      </c>
      <c r="C43" s="34">
        <v>955.1</v>
      </c>
      <c r="D43" s="35">
        <f>18+9.7+7.2+11.6+18.4+18.7</f>
        <v>83.60000000000001</v>
      </c>
      <c r="E43" s="3">
        <f>D43/D155*100</f>
        <v>0.026363449159065893</v>
      </c>
      <c r="F43" s="3">
        <f>D43/B43*100</f>
        <v>85.30612244897961</v>
      </c>
      <c r="G43" s="3">
        <f t="shared" si="0"/>
        <v>8.753010156004608</v>
      </c>
      <c r="H43" s="35">
        <f t="shared" si="2"/>
        <v>14.399999999999991</v>
      </c>
      <c r="I43" s="35">
        <f t="shared" si="1"/>
        <v>871.5</v>
      </c>
      <c r="J43" s="151"/>
      <c r="K43" s="152"/>
    </row>
    <row r="44" spans="1:11" ht="18.75" thickBot="1">
      <c r="A44" s="165" t="s">
        <v>14</v>
      </c>
      <c r="B44" s="166">
        <v>0</v>
      </c>
      <c r="C44" s="167">
        <v>51.5</v>
      </c>
      <c r="D44" s="168">
        <v>0</v>
      </c>
      <c r="E44" s="169">
        <f>D44/D39*100</f>
        <v>0</v>
      </c>
      <c r="F44" s="169" t="e">
        <f>D44/B44*100</f>
        <v>#DIV/0!</v>
      </c>
      <c r="G44" s="169">
        <f>D44/C44*100</f>
        <v>0</v>
      </c>
      <c r="H44" s="168">
        <f>B44-D44</f>
        <v>0</v>
      </c>
      <c r="I44" s="168">
        <f>C44-D44</f>
        <v>51.5</v>
      </c>
      <c r="J44" s="151"/>
      <c r="K44" s="152"/>
    </row>
    <row r="45" spans="1:11" ht="12" customHeight="1" thickBot="1">
      <c r="A45" s="19"/>
      <c r="B45" s="41"/>
      <c r="C45" s="42"/>
      <c r="D45" s="43"/>
      <c r="E45" s="5"/>
      <c r="F45" s="5"/>
      <c r="G45" s="5"/>
      <c r="H45" s="43"/>
      <c r="I45" s="43"/>
      <c r="J45" s="151"/>
      <c r="K45" s="152"/>
    </row>
    <row r="46" spans="1:11" ht="18.75" thickBot="1">
      <c r="A46" s="16" t="s">
        <v>41</v>
      </c>
      <c r="B46" s="33">
        <v>2569.8</v>
      </c>
      <c r="C46" s="34">
        <v>16742.1</v>
      </c>
      <c r="D46" s="35">
        <f>346.4+682.6-0.1+14.1+556.7+0.1+721.1+127.1</f>
        <v>2448</v>
      </c>
      <c r="E46" s="3">
        <f>D46/D155*100</f>
        <v>0.7719823390118815</v>
      </c>
      <c r="F46" s="3">
        <f>D46/B46*100</f>
        <v>95.26033154331076</v>
      </c>
      <c r="G46" s="3">
        <f aca="true" t="shared" si="5" ref="G46:G77">D46/C46*100</f>
        <v>14.621821635278732</v>
      </c>
      <c r="H46" s="35">
        <f>B46-D46</f>
        <v>121.80000000000018</v>
      </c>
      <c r="I46" s="35">
        <f aca="true" t="shared" si="6" ref="I46:I78">C46-D46</f>
        <v>14294.099999999999</v>
      </c>
      <c r="J46" s="151"/>
      <c r="K46" s="152"/>
    </row>
    <row r="47" spans="1:11" s="150" customFormat="1" ht="18">
      <c r="A47" s="90" t="s">
        <v>3</v>
      </c>
      <c r="B47" s="112">
        <v>2272.8</v>
      </c>
      <c r="C47" s="113">
        <v>15270.9</v>
      </c>
      <c r="D47" s="92">
        <f>332.5+633.1+14.1+510.1+691.2+14.1</f>
        <v>2195.1</v>
      </c>
      <c r="E47" s="94">
        <f>D47/D46*100</f>
        <v>89.66911764705881</v>
      </c>
      <c r="F47" s="94">
        <f aca="true" t="shared" si="7" ref="F47:F75">D47/B47*100</f>
        <v>96.58130939809925</v>
      </c>
      <c r="G47" s="94">
        <f t="shared" si="5"/>
        <v>14.374398365518731</v>
      </c>
      <c r="H47" s="92">
        <f aca="true" t="shared" si="8" ref="H47:H75">B47-D47</f>
        <v>77.70000000000027</v>
      </c>
      <c r="I47" s="92">
        <f t="shared" si="6"/>
        <v>13075.8</v>
      </c>
      <c r="J47" s="151"/>
      <c r="K47" s="152"/>
    </row>
    <row r="48" spans="1:11" s="150" customFormat="1" ht="18">
      <c r="A48" s="90" t="s">
        <v>2</v>
      </c>
      <c r="B48" s="112">
        <v>0</v>
      </c>
      <c r="C48" s="113">
        <v>1.6</v>
      </c>
      <c r="D48" s="92"/>
      <c r="E48" s="94">
        <f>D48/D46*100</f>
        <v>0</v>
      </c>
      <c r="F48" s="94" t="e">
        <f t="shared" si="7"/>
        <v>#DIV/0!</v>
      </c>
      <c r="G48" s="94">
        <f t="shared" si="5"/>
        <v>0</v>
      </c>
      <c r="H48" s="92">
        <f t="shared" si="8"/>
        <v>0</v>
      </c>
      <c r="I48" s="92">
        <f t="shared" si="6"/>
        <v>1.6</v>
      </c>
      <c r="J48" s="151"/>
      <c r="K48" s="152"/>
    </row>
    <row r="49" spans="1:11" s="150" customFormat="1" ht="18">
      <c r="A49" s="90" t="s">
        <v>1</v>
      </c>
      <c r="B49" s="112">
        <v>10.8</v>
      </c>
      <c r="C49" s="113">
        <v>106.3</v>
      </c>
      <c r="D49" s="92">
        <v>8.3</v>
      </c>
      <c r="E49" s="94">
        <f>D49/D46*100</f>
        <v>0.33905228758169936</v>
      </c>
      <c r="F49" s="94">
        <f t="shared" si="7"/>
        <v>76.85185185185185</v>
      </c>
      <c r="G49" s="94">
        <f t="shared" si="5"/>
        <v>7.808090310442145</v>
      </c>
      <c r="H49" s="92">
        <f t="shared" si="8"/>
        <v>2.5</v>
      </c>
      <c r="I49" s="92">
        <f t="shared" si="6"/>
        <v>98</v>
      </c>
      <c r="J49" s="151"/>
      <c r="K49" s="152"/>
    </row>
    <row r="50" spans="1:11" s="150" customFormat="1" ht="18">
      <c r="A50" s="90" t="s">
        <v>0</v>
      </c>
      <c r="B50" s="112">
        <v>248.4</v>
      </c>
      <c r="C50" s="113">
        <v>998.4</v>
      </c>
      <c r="D50" s="92">
        <f>13.9+43.7+37.9+3.3+112.6</f>
        <v>211.39999999999998</v>
      </c>
      <c r="E50" s="94">
        <f>D50/D46*100</f>
        <v>8.635620915032678</v>
      </c>
      <c r="F50" s="94">
        <f t="shared" si="7"/>
        <v>85.10466988727858</v>
      </c>
      <c r="G50" s="94">
        <f t="shared" si="5"/>
        <v>21.1738782051282</v>
      </c>
      <c r="H50" s="92">
        <f t="shared" si="8"/>
        <v>37.00000000000003</v>
      </c>
      <c r="I50" s="92">
        <f t="shared" si="6"/>
        <v>787</v>
      </c>
      <c r="J50" s="151"/>
      <c r="K50" s="152"/>
    </row>
    <row r="51" spans="1:11" s="150" customFormat="1" ht="18.75" thickBot="1">
      <c r="A51" s="90" t="s">
        <v>27</v>
      </c>
      <c r="B51" s="113">
        <f>B46-B47-B50-B49-B48</f>
        <v>37.8</v>
      </c>
      <c r="C51" s="113">
        <f>C46-C47-C50-C49-C48</f>
        <v>364.8999999999989</v>
      </c>
      <c r="D51" s="113">
        <f>D46-D47-D50-D49-D48</f>
        <v>33.20000000000012</v>
      </c>
      <c r="E51" s="94">
        <f>D51/D46*100</f>
        <v>1.3562091503268021</v>
      </c>
      <c r="F51" s="94">
        <f t="shared" si="7"/>
        <v>87.83068783068815</v>
      </c>
      <c r="G51" s="94">
        <f t="shared" si="5"/>
        <v>9.098383118662706</v>
      </c>
      <c r="H51" s="92">
        <f t="shared" si="8"/>
        <v>4.599999999999881</v>
      </c>
      <c r="I51" s="92">
        <f t="shared" si="6"/>
        <v>331.6999999999988</v>
      </c>
      <c r="J51" s="151"/>
      <c r="K51" s="152"/>
    </row>
    <row r="52" spans="1:11" ht="18.75" thickBot="1">
      <c r="A52" s="16" t="s">
        <v>4</v>
      </c>
      <c r="B52" s="33">
        <v>7397.8</v>
      </c>
      <c r="C52" s="34">
        <v>54626.8</v>
      </c>
      <c r="D52" s="35">
        <f>721.7+145.3+5+112.8+1132.7+7.6+9.6+17.1+0.3+1056.5+185.3+56.2+95+1327.2+403.4+2.3</f>
        <v>5278</v>
      </c>
      <c r="E52" s="3">
        <f>D52/D155*100</f>
        <v>1.6644292423630354</v>
      </c>
      <c r="F52" s="3">
        <f>D52/B52*100</f>
        <v>71.34553515910135</v>
      </c>
      <c r="G52" s="3">
        <f t="shared" si="5"/>
        <v>9.66192418373399</v>
      </c>
      <c r="H52" s="35">
        <f>B52-D52</f>
        <v>2119.8</v>
      </c>
      <c r="I52" s="35">
        <f t="shared" si="6"/>
        <v>49348.8</v>
      </c>
      <c r="J52" s="151"/>
      <c r="K52" s="152"/>
    </row>
    <row r="53" spans="1:11" s="150" customFormat="1" ht="18">
      <c r="A53" s="90" t="s">
        <v>3</v>
      </c>
      <c r="B53" s="112">
        <v>4159.1</v>
      </c>
      <c r="C53" s="113">
        <v>25959.9</v>
      </c>
      <c r="D53" s="92">
        <f>721.7+980.4+865.2+984.4+270.7</f>
        <v>3822.4</v>
      </c>
      <c r="E53" s="94">
        <f>D53/D52*100</f>
        <v>72.42137173171656</v>
      </c>
      <c r="F53" s="94">
        <f t="shared" si="7"/>
        <v>91.90449856940202</v>
      </c>
      <c r="G53" s="94">
        <f t="shared" si="5"/>
        <v>14.724247782156324</v>
      </c>
      <c r="H53" s="92">
        <f t="shared" si="8"/>
        <v>336.7000000000003</v>
      </c>
      <c r="I53" s="92">
        <f t="shared" si="6"/>
        <v>22137.5</v>
      </c>
      <c r="J53" s="151"/>
      <c r="K53" s="152"/>
    </row>
    <row r="54" spans="1:11" s="150" customFormat="1" ht="18">
      <c r="A54" s="90" t="s">
        <v>2</v>
      </c>
      <c r="B54" s="112">
        <v>0</v>
      </c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5"/>
        <v>0</v>
      </c>
      <c r="H54" s="92">
        <f t="shared" si="8"/>
        <v>0</v>
      </c>
      <c r="I54" s="92">
        <f t="shared" si="6"/>
        <v>16.4</v>
      </c>
      <c r="J54" s="151"/>
      <c r="K54" s="152"/>
    </row>
    <row r="55" spans="1:11" s="150" customFormat="1" ht="18">
      <c r="A55" s="90" t="s">
        <v>1</v>
      </c>
      <c r="B55" s="112">
        <v>412.8</v>
      </c>
      <c r="C55" s="113">
        <v>4332.1</v>
      </c>
      <c r="D55" s="92">
        <f>3.2+7.6+9.6+11.4+10.1+24.7+6.6+7.8+2.3</f>
        <v>83.29999999999998</v>
      </c>
      <c r="E55" s="94">
        <f>D55/D52*100</f>
        <v>1.5782493368700263</v>
      </c>
      <c r="F55" s="94">
        <f t="shared" si="7"/>
        <v>20.179263565891468</v>
      </c>
      <c r="G55" s="94">
        <f t="shared" si="5"/>
        <v>1.922854966413517</v>
      </c>
      <c r="H55" s="92">
        <f t="shared" si="8"/>
        <v>329.5</v>
      </c>
      <c r="I55" s="92">
        <f t="shared" si="6"/>
        <v>4248.8</v>
      </c>
      <c r="J55" s="151"/>
      <c r="K55" s="152"/>
    </row>
    <row r="56" spans="1:11" s="150" customFormat="1" ht="18">
      <c r="A56" s="90" t="s">
        <v>0</v>
      </c>
      <c r="B56" s="112">
        <v>320.7</v>
      </c>
      <c r="C56" s="113">
        <v>1406.6</v>
      </c>
      <c r="D56" s="92">
        <f>0.3+1.2+21.4+80.5</f>
        <v>103.4</v>
      </c>
      <c r="E56" s="94">
        <f>D56/D52*100</f>
        <v>1.9590754073512695</v>
      </c>
      <c r="F56" s="94">
        <f t="shared" si="7"/>
        <v>32.24197068911756</v>
      </c>
      <c r="G56" s="94">
        <f t="shared" si="5"/>
        <v>7.3510592919095705</v>
      </c>
      <c r="H56" s="92">
        <f t="shared" si="8"/>
        <v>217.29999999999998</v>
      </c>
      <c r="I56" s="92">
        <f t="shared" si="6"/>
        <v>1303.1999999999998</v>
      </c>
      <c r="J56" s="151"/>
      <c r="K56" s="152"/>
    </row>
    <row r="57" spans="1:11" s="150" customFormat="1" ht="18">
      <c r="A57" s="90" t="s">
        <v>14</v>
      </c>
      <c r="B57" s="112">
        <v>580</v>
      </c>
      <c r="C57" s="113">
        <v>4640</v>
      </c>
      <c r="D57" s="113">
        <v>227</v>
      </c>
      <c r="E57" s="94">
        <f>D57/D52*100</f>
        <v>4.300871542250852</v>
      </c>
      <c r="F57" s="94">
        <f>D57/B57*100</f>
        <v>39.13793103448276</v>
      </c>
      <c r="G57" s="94">
        <f>D57/C57*100</f>
        <v>4.892241379310345</v>
      </c>
      <c r="H57" s="92">
        <f t="shared" si="8"/>
        <v>353</v>
      </c>
      <c r="I57" s="92">
        <f t="shared" si="6"/>
        <v>4413</v>
      </c>
      <c r="J57" s="151"/>
      <c r="K57" s="152"/>
    </row>
    <row r="58" spans="1:11" s="150" customFormat="1" ht="18.75" thickBot="1">
      <c r="A58" s="90" t="s">
        <v>27</v>
      </c>
      <c r="B58" s="113">
        <f>B52-B53-B56-B55-B54-B57</f>
        <v>1925.1999999999998</v>
      </c>
      <c r="C58" s="113">
        <f>C52-C53-C56-C55-C54-C57</f>
        <v>18271.800000000003</v>
      </c>
      <c r="D58" s="113">
        <f>D52-D53-D56-D55-D54-D57</f>
        <v>1041.8999999999999</v>
      </c>
      <c r="E58" s="94">
        <f>D58/D52*100</f>
        <v>19.74043198181129</v>
      </c>
      <c r="F58" s="94">
        <f t="shared" si="7"/>
        <v>54.11905256596717</v>
      </c>
      <c r="G58" s="94">
        <f t="shared" si="5"/>
        <v>5.702229665386003</v>
      </c>
      <c r="H58" s="92">
        <f>B58-D58</f>
        <v>883.3</v>
      </c>
      <c r="I58" s="92">
        <f>C58-D58</f>
        <v>17229.9</v>
      </c>
      <c r="J58" s="151"/>
      <c r="K58" s="152"/>
    </row>
    <row r="59" spans="1:11" s="27" customFormat="1" ht="19.5" hidden="1" thickBot="1">
      <c r="A59" s="68" t="s">
        <v>62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146"/>
      <c r="K59" s="152">
        <f>C59-B59</f>
        <v>0</v>
      </c>
    </row>
    <row r="60" spans="1:11" ht="18.75" thickBot="1">
      <c r="A60" s="16" t="s">
        <v>6</v>
      </c>
      <c r="B60" s="33">
        <v>797</v>
      </c>
      <c r="C60" s="34">
        <v>10268.5</v>
      </c>
      <c r="D60" s="35">
        <f>80.6+106+88.7+4.1+0.3+50.7+49.2+44+180.6</f>
        <v>604.2</v>
      </c>
      <c r="E60" s="3">
        <f>D60/D155*100</f>
        <v>0.19053583710415803</v>
      </c>
      <c r="F60" s="3">
        <f>D60/B60*100</f>
        <v>75.80928481806775</v>
      </c>
      <c r="G60" s="3">
        <f t="shared" si="5"/>
        <v>5.88401421824025</v>
      </c>
      <c r="H60" s="35">
        <f>B60-D60</f>
        <v>192.79999999999995</v>
      </c>
      <c r="I60" s="35">
        <f t="shared" si="6"/>
        <v>9664.3</v>
      </c>
      <c r="J60" s="151"/>
      <c r="K60" s="152"/>
    </row>
    <row r="61" spans="1:11" s="150" customFormat="1" ht="18">
      <c r="A61" s="90" t="s">
        <v>3</v>
      </c>
      <c r="B61" s="112">
        <v>572.7</v>
      </c>
      <c r="C61" s="113">
        <v>3626.9</v>
      </c>
      <c r="D61" s="92">
        <f>80.6+106+88.7+4.1+50.7+38.1+180.6</f>
        <v>548.8000000000001</v>
      </c>
      <c r="E61" s="94">
        <f>D61/D60*100</f>
        <v>90.83085071168487</v>
      </c>
      <c r="F61" s="94">
        <f t="shared" si="7"/>
        <v>95.82678540247949</v>
      </c>
      <c r="G61" s="94">
        <f t="shared" si="5"/>
        <v>15.131379414927352</v>
      </c>
      <c r="H61" s="92">
        <f t="shared" si="8"/>
        <v>23.899999999999977</v>
      </c>
      <c r="I61" s="92">
        <f t="shared" si="6"/>
        <v>3078.1</v>
      </c>
      <c r="J61" s="151"/>
      <c r="K61" s="152"/>
    </row>
    <row r="62" spans="1:11" s="150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5"/>
        <v>0</v>
      </c>
      <c r="H62" s="92">
        <f t="shared" si="8"/>
        <v>0</v>
      </c>
      <c r="I62" s="92">
        <f t="shared" si="6"/>
        <v>420</v>
      </c>
      <c r="J62" s="151"/>
      <c r="K62" s="152"/>
    </row>
    <row r="63" spans="1:11" s="150" customFormat="1" ht="18">
      <c r="A63" s="90" t="s">
        <v>0</v>
      </c>
      <c r="B63" s="112">
        <v>170.7</v>
      </c>
      <c r="C63" s="113">
        <v>475.3</v>
      </c>
      <c r="D63" s="92">
        <f>9.6+44</f>
        <v>53.6</v>
      </c>
      <c r="E63" s="94">
        <f>D63/D60*100</f>
        <v>8.871234690499834</v>
      </c>
      <c r="F63" s="94">
        <f t="shared" si="7"/>
        <v>31.400117164616287</v>
      </c>
      <c r="G63" s="94">
        <f t="shared" si="5"/>
        <v>11.277088154849569</v>
      </c>
      <c r="H63" s="92">
        <f t="shared" si="8"/>
        <v>117.1</v>
      </c>
      <c r="I63" s="92">
        <f t="shared" si="6"/>
        <v>421.7</v>
      </c>
      <c r="J63" s="151"/>
      <c r="K63" s="152"/>
    </row>
    <row r="64" spans="1:11" s="150" customFormat="1" ht="18">
      <c r="A64" s="90" t="s">
        <v>14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7"/>
        <v>#DIV/0!</v>
      </c>
      <c r="G64" s="94">
        <f t="shared" si="5"/>
        <v>0</v>
      </c>
      <c r="H64" s="92">
        <f t="shared" si="8"/>
        <v>0</v>
      </c>
      <c r="I64" s="92">
        <f t="shared" si="6"/>
        <v>4848.7</v>
      </c>
      <c r="J64" s="151"/>
      <c r="K64" s="152"/>
    </row>
    <row r="65" spans="1:11" s="150" customFormat="1" ht="18.75" thickBot="1">
      <c r="A65" s="90" t="s">
        <v>27</v>
      </c>
      <c r="B65" s="113">
        <f>B60-B61-B63-B64-B62</f>
        <v>53.599999999999966</v>
      </c>
      <c r="C65" s="113">
        <f>C60-C61-C63-C64-C62</f>
        <v>897.6000000000004</v>
      </c>
      <c r="D65" s="113">
        <f>D60-D61-D63-D64-D62</f>
        <v>1.7999999999999758</v>
      </c>
      <c r="E65" s="94">
        <f>D65/D60*100</f>
        <v>0.29791459781528895</v>
      </c>
      <c r="F65" s="94">
        <f t="shared" si="7"/>
        <v>3.3582089552238377</v>
      </c>
      <c r="G65" s="94">
        <f t="shared" si="5"/>
        <v>0.20053475935828602</v>
      </c>
      <c r="H65" s="92">
        <f t="shared" si="8"/>
        <v>51.79999999999999</v>
      </c>
      <c r="I65" s="92">
        <f t="shared" si="6"/>
        <v>895.8000000000004</v>
      </c>
      <c r="J65" s="151"/>
      <c r="K65" s="152"/>
    </row>
    <row r="66" spans="1:11" s="27" customFormat="1" ht="19.5" hidden="1" thickBot="1">
      <c r="A66" s="68" t="s">
        <v>73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146"/>
      <c r="K66" s="152">
        <f>C66-B66</f>
        <v>0</v>
      </c>
    </row>
    <row r="67" spans="1:11" s="27" customFormat="1" ht="19.5" hidden="1" thickBot="1">
      <c r="A67" s="68" t="s">
        <v>59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146"/>
      <c r="K67" s="152">
        <f>C67-B67</f>
        <v>0</v>
      </c>
    </row>
    <row r="68" spans="1:11" s="27" customFormat="1" ht="19.5" hidden="1" thickBot="1">
      <c r="A68" s="68" t="s">
        <v>60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146"/>
      <c r="K68" s="152">
        <f>C68-B68</f>
        <v>0</v>
      </c>
    </row>
    <row r="69" spans="1:11" s="27" customFormat="1" ht="19.5" hidden="1" thickBot="1">
      <c r="A69" s="68" t="s">
        <v>61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146"/>
      <c r="K69" s="152">
        <f>C69-B69</f>
        <v>0</v>
      </c>
    </row>
    <row r="70" spans="1:11" ht="18.75" thickBot="1">
      <c r="A70" s="16" t="s">
        <v>20</v>
      </c>
      <c r="B70" s="34">
        <f>B71+B72</f>
        <v>65.9</v>
      </c>
      <c r="C70" s="34">
        <f>C71+C72</f>
        <v>613.8</v>
      </c>
      <c r="D70" s="35">
        <f>D71+D72</f>
        <v>0</v>
      </c>
      <c r="E70" s="25">
        <f>D70/D155*100</f>
        <v>0</v>
      </c>
      <c r="F70" s="3">
        <f>D70/B70*100</f>
        <v>0</v>
      </c>
      <c r="G70" s="3">
        <f t="shared" si="5"/>
        <v>0</v>
      </c>
      <c r="H70" s="35">
        <f>B70-D70</f>
        <v>65.9</v>
      </c>
      <c r="I70" s="35">
        <f t="shared" si="6"/>
        <v>613.8</v>
      </c>
      <c r="J70" s="151"/>
      <c r="K70" s="152"/>
    </row>
    <row r="71" spans="1:11" s="150" customFormat="1" ht="18">
      <c r="A71" s="90" t="s">
        <v>120</v>
      </c>
      <c r="B71" s="112"/>
      <c r="C71" s="113">
        <v>217.3</v>
      </c>
      <c r="D71" s="92"/>
      <c r="E71" s="94" t="e">
        <f>D71/D70*100</f>
        <v>#DIV/0!</v>
      </c>
      <c r="F71" s="94" t="e">
        <f t="shared" si="7"/>
        <v>#DIV/0!</v>
      </c>
      <c r="G71" s="94">
        <f t="shared" si="5"/>
        <v>0</v>
      </c>
      <c r="H71" s="92">
        <f t="shared" si="8"/>
        <v>0</v>
      </c>
      <c r="I71" s="92">
        <f t="shared" si="6"/>
        <v>217.3</v>
      </c>
      <c r="J71" s="151"/>
      <c r="K71" s="152"/>
    </row>
    <row r="72" spans="1:11" s="150" customFormat="1" ht="18.75" thickBot="1">
      <c r="A72" s="90" t="s">
        <v>121</v>
      </c>
      <c r="B72" s="112">
        <v>65.9</v>
      </c>
      <c r="C72" s="113">
        <v>396.5</v>
      </c>
      <c r="D72" s="92"/>
      <c r="E72" s="94" t="e">
        <f>D72/D71*100</f>
        <v>#DIV/0!</v>
      </c>
      <c r="F72" s="94">
        <f t="shared" si="7"/>
        <v>0</v>
      </c>
      <c r="G72" s="94">
        <f t="shared" si="5"/>
        <v>0</v>
      </c>
      <c r="H72" s="92">
        <f t="shared" si="8"/>
        <v>65.9</v>
      </c>
      <c r="I72" s="92">
        <f t="shared" si="6"/>
        <v>396.5</v>
      </c>
      <c r="J72" s="151"/>
      <c r="K72" s="152"/>
    </row>
    <row r="73" spans="1:11" ht="38.25" hidden="1" thickBot="1">
      <c r="A73" s="9" t="s">
        <v>38</v>
      </c>
      <c r="B73" s="40"/>
      <c r="C73" s="34">
        <f>C74+C75+C76+C77</f>
        <v>0</v>
      </c>
      <c r="D73" s="34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5"/>
        <v>#DIV/0!</v>
      </c>
      <c r="H73" s="35">
        <f>B73-D73</f>
        <v>0</v>
      </c>
      <c r="I73" s="35">
        <f t="shared" si="6"/>
        <v>0</v>
      </c>
      <c r="J73" s="151"/>
      <c r="K73" s="152"/>
    </row>
    <row r="74" spans="1:11" ht="19.5" hidden="1" thickBot="1">
      <c r="A74" s="13" t="s">
        <v>42</v>
      </c>
      <c r="B74" s="38"/>
      <c r="C74" s="44"/>
      <c r="D74" s="36"/>
      <c r="E74" s="22" t="e">
        <f>D74/D73*100</f>
        <v>#DIV/0!</v>
      </c>
      <c r="F74" s="1" t="e">
        <f t="shared" si="7"/>
        <v>#DIV/0!</v>
      </c>
      <c r="G74" s="1" t="e">
        <f t="shared" si="5"/>
        <v>#DIV/0!</v>
      </c>
      <c r="H74" s="32">
        <f t="shared" si="8"/>
        <v>0</v>
      </c>
      <c r="I74" s="32">
        <f t="shared" si="6"/>
        <v>0</v>
      </c>
      <c r="J74" s="151"/>
      <c r="K74" s="152"/>
    </row>
    <row r="75" spans="1:11" ht="19.5" hidden="1" thickBot="1">
      <c r="A75" s="13" t="s">
        <v>43</v>
      </c>
      <c r="B75" s="38"/>
      <c r="C75" s="44"/>
      <c r="D75" s="36"/>
      <c r="E75" s="22" t="e">
        <f>D75/D73*100</f>
        <v>#DIV/0!</v>
      </c>
      <c r="F75" s="1" t="e">
        <f t="shared" si="7"/>
        <v>#DIV/0!</v>
      </c>
      <c r="G75" s="1" t="e">
        <f t="shared" si="5"/>
        <v>#DIV/0!</v>
      </c>
      <c r="H75" s="32">
        <f t="shared" si="8"/>
        <v>0</v>
      </c>
      <c r="I75" s="32">
        <f t="shared" si="6"/>
        <v>0</v>
      </c>
      <c r="J75" s="151"/>
      <c r="K75" s="152"/>
    </row>
    <row r="76" spans="1:11" ht="19.5" hidden="1" thickBot="1">
      <c r="A76" s="18" t="s">
        <v>31</v>
      </c>
      <c r="B76" s="45"/>
      <c r="C76" s="46"/>
      <c r="D76" s="47"/>
      <c r="E76" s="22" t="e">
        <f>D76/D73*100</f>
        <v>#DIV/0!</v>
      </c>
      <c r="F76" s="22"/>
      <c r="G76" s="1" t="e">
        <f t="shared" si="5"/>
        <v>#DIV/0!</v>
      </c>
      <c r="H76" s="32"/>
      <c r="I76" s="32">
        <f t="shared" si="6"/>
        <v>0</v>
      </c>
      <c r="J76" s="151"/>
      <c r="K76" s="152"/>
    </row>
    <row r="77" spans="1:11" ht="19.5" hidden="1" thickBot="1">
      <c r="A77" s="18" t="s">
        <v>39</v>
      </c>
      <c r="B77" s="45"/>
      <c r="C77" s="46"/>
      <c r="D77" s="47"/>
      <c r="E77" s="22" t="e">
        <f>D77/D73*100</f>
        <v>#DIV/0!</v>
      </c>
      <c r="F77" s="22"/>
      <c r="G77" s="1" t="e">
        <f t="shared" si="5"/>
        <v>#DIV/0!</v>
      </c>
      <c r="H77" s="32"/>
      <c r="I77" s="32">
        <f t="shared" si="6"/>
        <v>0</v>
      </c>
      <c r="J77" s="151"/>
      <c r="K77" s="152"/>
    </row>
    <row r="78" spans="1:11" s="27" customFormat="1" ht="19.5" thickBot="1">
      <c r="A78" s="19" t="s">
        <v>13</v>
      </c>
      <c r="B78" s="41">
        <v>1666.7</v>
      </c>
      <c r="C78" s="48">
        <v>10000</v>
      </c>
      <c r="D78" s="49"/>
      <c r="E78" s="29"/>
      <c r="F78" s="29"/>
      <c r="G78" s="29"/>
      <c r="H78" s="49">
        <f>B78-D78</f>
        <v>1666.7</v>
      </c>
      <c r="I78" s="49">
        <f t="shared" si="6"/>
        <v>10000</v>
      </c>
      <c r="J78" s="146"/>
      <c r="K78" s="152"/>
    </row>
    <row r="79" spans="1:11" ht="8.25" customHeight="1" thickBot="1">
      <c r="A79" s="13"/>
      <c r="B79" s="38"/>
      <c r="C79" s="46"/>
      <c r="D79" s="47"/>
      <c r="E79" s="4"/>
      <c r="F79" s="4"/>
      <c r="G79" s="4"/>
      <c r="H79" s="47"/>
      <c r="I79" s="153"/>
      <c r="J79" s="151"/>
      <c r="K79" s="152"/>
    </row>
    <row r="80" spans="1:11" ht="18.75" customHeight="1" hidden="1" thickBot="1">
      <c r="A80" s="9" t="s">
        <v>53</v>
      </c>
      <c r="B80" s="40"/>
      <c r="C80" s="34"/>
      <c r="D80" s="34"/>
      <c r="E80" s="3">
        <f>D80/D155*100</f>
        <v>0</v>
      </c>
      <c r="F80" s="3" t="e">
        <f>D80/B80*100</f>
        <v>#DIV/0!</v>
      </c>
      <c r="G80" s="3" t="e">
        <f aca="true" t="shared" si="9" ref="G80:G94">D80/C80*100</f>
        <v>#DIV/0!</v>
      </c>
      <c r="H80" s="35">
        <f>B80-D80</f>
        <v>0</v>
      </c>
      <c r="I80" s="35">
        <f aca="true" t="shared" si="10" ref="I80:I94">C80-D80</f>
        <v>0</v>
      </c>
      <c r="J80" s="151"/>
      <c r="K80" s="152"/>
    </row>
    <row r="81" spans="1:11" s="6" customFormat="1" ht="18.75" hidden="1" thickBot="1">
      <c r="A81" s="7" t="s">
        <v>52</v>
      </c>
      <c r="B81" s="50"/>
      <c r="C81" s="31"/>
      <c r="D81" s="32"/>
      <c r="E81" s="65"/>
      <c r="F81" s="1" t="e">
        <f>D81/B81*100</f>
        <v>#DIV/0!</v>
      </c>
      <c r="G81" s="1" t="e">
        <f t="shared" si="9"/>
        <v>#DIV/0!</v>
      </c>
      <c r="H81" s="32">
        <f>B81-D81</f>
        <v>0</v>
      </c>
      <c r="I81" s="32">
        <f t="shared" si="10"/>
        <v>0</v>
      </c>
      <c r="J81" s="147"/>
      <c r="K81" s="152"/>
    </row>
    <row r="82" spans="1:11" s="6" customFormat="1" ht="31.5" hidden="1" thickBot="1">
      <c r="A82" s="7" t="s">
        <v>50</v>
      </c>
      <c r="B82" s="50"/>
      <c r="C82" s="31"/>
      <c r="D82" s="32"/>
      <c r="E82" s="65"/>
      <c r="F82" s="1" t="e">
        <f>D82/B82*100</f>
        <v>#DIV/0!</v>
      </c>
      <c r="G82" s="1" t="e">
        <f t="shared" si="9"/>
        <v>#DIV/0!</v>
      </c>
      <c r="H82" s="32">
        <f>B82-D82</f>
        <v>0</v>
      </c>
      <c r="I82" s="32">
        <f t="shared" si="10"/>
        <v>0</v>
      </c>
      <c r="J82" s="147"/>
      <c r="K82" s="152"/>
    </row>
    <row r="83" spans="1:11" s="6" customFormat="1" ht="16.5" customHeight="1" hidden="1">
      <c r="A83" s="7" t="s">
        <v>30</v>
      </c>
      <c r="B83" s="50"/>
      <c r="C83" s="31"/>
      <c r="D83" s="32"/>
      <c r="E83" s="1" t="e">
        <f>D83/D80*100</f>
        <v>#DIV/0!</v>
      </c>
      <c r="F83" s="1"/>
      <c r="G83" s="1" t="e">
        <f t="shared" si="9"/>
        <v>#DIV/0!</v>
      </c>
      <c r="H83" s="32"/>
      <c r="I83" s="32">
        <f t="shared" si="10"/>
        <v>0</v>
      </c>
      <c r="J83" s="147"/>
      <c r="K83" s="152"/>
    </row>
    <row r="84" spans="1:11" s="6" customFormat="1" ht="33" customHeight="1" hidden="1" thickBot="1">
      <c r="A84" s="7" t="s">
        <v>36</v>
      </c>
      <c r="B84" s="50"/>
      <c r="C84" s="31"/>
      <c r="D84" s="31"/>
      <c r="E84" s="1" t="e">
        <f>D84/D80*100</f>
        <v>#DIV/0!</v>
      </c>
      <c r="F84" s="1"/>
      <c r="G84" s="1" t="e">
        <f t="shared" si="9"/>
        <v>#DIV/0!</v>
      </c>
      <c r="H84" s="32"/>
      <c r="I84" s="32">
        <f t="shared" si="10"/>
        <v>0</v>
      </c>
      <c r="J84" s="147"/>
      <c r="K84" s="152"/>
    </row>
    <row r="85" spans="1:11" ht="35.25" customHeight="1" hidden="1" thickBot="1">
      <c r="A85" s="9" t="s">
        <v>32</v>
      </c>
      <c r="B85" s="40"/>
      <c r="C85" s="34"/>
      <c r="D85" s="34"/>
      <c r="E85" s="3">
        <f>D85/D155*100</f>
        <v>0</v>
      </c>
      <c r="F85" s="3"/>
      <c r="G85" s="3" t="e">
        <f t="shared" si="9"/>
        <v>#DIV/0!</v>
      </c>
      <c r="H85" s="35"/>
      <c r="I85" s="35">
        <f t="shared" si="10"/>
        <v>0</v>
      </c>
      <c r="J85" s="151"/>
      <c r="K85" s="152"/>
    </row>
    <row r="86" spans="1:11" ht="16.5" customHeight="1" hidden="1">
      <c r="A86" s="17" t="s">
        <v>23</v>
      </c>
      <c r="B86" s="30"/>
      <c r="C86" s="46"/>
      <c r="D86" s="46"/>
      <c r="E86" s="4" t="e">
        <f>D86/D85*100</f>
        <v>#DIV/0!</v>
      </c>
      <c r="F86" s="4"/>
      <c r="G86" s="4" t="e">
        <f t="shared" si="9"/>
        <v>#DIV/0!</v>
      </c>
      <c r="H86" s="47"/>
      <c r="I86" s="32">
        <f t="shared" si="10"/>
        <v>0</v>
      </c>
      <c r="J86" s="151"/>
      <c r="K86" s="152"/>
    </row>
    <row r="87" spans="1:11" ht="16.5" customHeight="1" hidden="1" thickBot="1">
      <c r="A87" s="17" t="s">
        <v>24</v>
      </c>
      <c r="B87" s="30"/>
      <c r="C87" s="46"/>
      <c r="D87" s="46"/>
      <c r="E87" s="4" t="e">
        <f>D87/D85*100</f>
        <v>#DIV/0!</v>
      </c>
      <c r="F87" s="4"/>
      <c r="G87" s="4" t="e">
        <f t="shared" si="9"/>
        <v>#DIV/0!</v>
      </c>
      <c r="H87" s="47"/>
      <c r="I87" s="32">
        <f t="shared" si="10"/>
        <v>0</v>
      </c>
      <c r="J87" s="151"/>
      <c r="K87" s="152"/>
    </row>
    <row r="88" spans="1:11" ht="34.5" customHeight="1" hidden="1" thickBot="1">
      <c r="A88" s="9" t="s">
        <v>33</v>
      </c>
      <c r="B88" s="40"/>
      <c r="C88" s="34"/>
      <c r="D88" s="34"/>
      <c r="E88" s="3">
        <f>D88/D155*100</f>
        <v>0</v>
      </c>
      <c r="F88" s="3"/>
      <c r="G88" s="3" t="e">
        <f t="shared" si="9"/>
        <v>#DIV/0!</v>
      </c>
      <c r="H88" s="35"/>
      <c r="I88" s="35">
        <f t="shared" si="10"/>
        <v>0</v>
      </c>
      <c r="J88" s="151"/>
      <c r="K88" s="152"/>
    </row>
    <row r="89" spans="1:11" ht="17.25" customHeight="1" hidden="1">
      <c r="A89" s="17" t="s">
        <v>23</v>
      </c>
      <c r="B89" s="30"/>
      <c r="C89" s="31"/>
      <c r="D89" s="32"/>
      <c r="E89" s="1" t="e">
        <f>D89/D88*100</f>
        <v>#DIV/0!</v>
      </c>
      <c r="F89" s="1"/>
      <c r="G89" s="1" t="e">
        <f t="shared" si="9"/>
        <v>#DIV/0!</v>
      </c>
      <c r="H89" s="32"/>
      <c r="I89" s="32">
        <f t="shared" si="10"/>
        <v>0</v>
      </c>
      <c r="J89" s="151"/>
      <c r="K89" s="152"/>
    </row>
    <row r="90" spans="1:11" ht="17.25" customHeight="1" hidden="1" thickBot="1">
      <c r="A90" s="17" t="s">
        <v>24</v>
      </c>
      <c r="B90" s="30"/>
      <c r="C90" s="31"/>
      <c r="D90" s="32"/>
      <c r="E90" s="1" t="e">
        <f>D90/D88*100</f>
        <v>#DIV/0!</v>
      </c>
      <c r="F90" s="1"/>
      <c r="G90" s="1" t="e">
        <f t="shared" si="9"/>
        <v>#DIV/0!</v>
      </c>
      <c r="H90" s="32"/>
      <c r="I90" s="32">
        <f t="shared" si="10"/>
        <v>0</v>
      </c>
      <c r="J90" s="151"/>
      <c r="K90" s="152"/>
    </row>
    <row r="91" spans="1:11" ht="19.5" thickBot="1">
      <c r="A91" s="9" t="s">
        <v>10</v>
      </c>
      <c r="B91" s="40">
        <v>36220.6</v>
      </c>
      <c r="C91" s="34">
        <v>208452.8</v>
      </c>
      <c r="D91" s="35">
        <f>244+43.9+2457.4+2707.4+10.4+33.4+0.3+26.7+297+18.1+13+3+6.2+490.1+6379.1-0.1+2560.6+73.2+32.7+207.4+162.1+3.7+587.9+1178+3844.7+1728.3+5.1+21.1+0.3+34.4+45+4.2+963+7087.2+2475+12.1+0.2</f>
        <v>33756.1</v>
      </c>
      <c r="E91" s="3">
        <f>D91/D155*100</f>
        <v>10.64506251385579</v>
      </c>
      <c r="F91" s="3">
        <f aca="true" t="shared" si="11" ref="F91:F97">D91/B91*100</f>
        <v>93.1958609189246</v>
      </c>
      <c r="G91" s="3">
        <f t="shared" si="9"/>
        <v>16.193641917978553</v>
      </c>
      <c r="H91" s="35">
        <f aca="true" t="shared" si="12" ref="H91:H97">B91-D91</f>
        <v>2464.5</v>
      </c>
      <c r="I91" s="35">
        <f t="shared" si="10"/>
        <v>174696.69999999998</v>
      </c>
      <c r="J91" s="151"/>
      <c r="K91" s="152"/>
    </row>
    <row r="92" spans="1:11" s="150" customFormat="1" ht="21.75" customHeight="1">
      <c r="A92" s="90" t="s">
        <v>3</v>
      </c>
      <c r="B92" s="112">
        <f>33946.5-37.5</f>
        <v>33909</v>
      </c>
      <c r="C92" s="113">
        <v>195523.2</v>
      </c>
      <c r="D92" s="149">
        <f>244+2447.7+2707.4+7.9+32.8+292+16+4.4+487.2+6367.9-0.1+2554.5+39.8+0.3+122+1.4+575.3+1176+3828+1657.6+10+5.7+877.3+7018.3+1997.5+99.9</f>
        <v>32570.799999999996</v>
      </c>
      <c r="E92" s="94">
        <f>D92/D91*100</f>
        <v>96.48863464677494</v>
      </c>
      <c r="F92" s="94">
        <f t="shared" si="11"/>
        <v>96.05355510336487</v>
      </c>
      <c r="G92" s="94">
        <f t="shared" si="9"/>
        <v>16.6582789152387</v>
      </c>
      <c r="H92" s="92">
        <f t="shared" si="12"/>
        <v>1338.2000000000044</v>
      </c>
      <c r="I92" s="92">
        <f t="shared" si="10"/>
        <v>162952.40000000002</v>
      </c>
      <c r="K92" s="152"/>
    </row>
    <row r="93" spans="1:11" s="150" customFormat="1" ht="18">
      <c r="A93" s="90" t="s">
        <v>25</v>
      </c>
      <c r="B93" s="112">
        <v>708.6</v>
      </c>
      <c r="C93" s="113">
        <v>2704.7</v>
      </c>
      <c r="D93" s="92">
        <f>56.2+5.4+7.1+340.1</f>
        <v>408.8</v>
      </c>
      <c r="E93" s="94">
        <f>D93/D91*100</f>
        <v>1.2110403749248286</v>
      </c>
      <c r="F93" s="94">
        <f t="shared" si="11"/>
        <v>57.69122212814</v>
      </c>
      <c r="G93" s="94">
        <f t="shared" si="9"/>
        <v>15.114430435907867</v>
      </c>
      <c r="H93" s="92">
        <f t="shared" si="12"/>
        <v>299.8</v>
      </c>
      <c r="I93" s="92">
        <f t="shared" si="10"/>
        <v>2295.8999999999996</v>
      </c>
      <c r="K93" s="152"/>
    </row>
    <row r="94" spans="1:11" s="150" customFormat="1" ht="18" hidden="1">
      <c r="A94" s="90" t="s">
        <v>14</v>
      </c>
      <c r="B94" s="112"/>
      <c r="C94" s="113"/>
      <c r="D94" s="113"/>
      <c r="E94" s="114">
        <f>D94/D91*100</f>
        <v>0</v>
      </c>
      <c r="F94" s="94"/>
      <c r="G94" s="94" t="e">
        <f t="shared" si="9"/>
        <v>#DIV/0!</v>
      </c>
      <c r="H94" s="92">
        <f t="shared" si="12"/>
        <v>0</v>
      </c>
      <c r="I94" s="92">
        <f t="shared" si="10"/>
        <v>0</v>
      </c>
      <c r="K94" s="152">
        <f aca="true" t="shared" si="13" ref="K94:K102">C94-B94</f>
        <v>0</v>
      </c>
    </row>
    <row r="95" spans="1:11" s="150" customFormat="1" ht="18.75" thickBot="1">
      <c r="A95" s="90" t="s">
        <v>27</v>
      </c>
      <c r="B95" s="113">
        <f>B91-B92-B93-B94</f>
        <v>1602.9999999999986</v>
      </c>
      <c r="C95" s="113">
        <f>C91-C92-C93-C94</f>
        <v>10224.899999999976</v>
      </c>
      <c r="D95" s="113">
        <f>D91-D92-D93-D94</f>
        <v>776.500000000003</v>
      </c>
      <c r="E95" s="94">
        <f>D95/D91*100</f>
        <v>2.300324978300227</v>
      </c>
      <c r="F95" s="94">
        <f t="shared" si="11"/>
        <v>48.44042420461657</v>
      </c>
      <c r="G95" s="94">
        <f>D95/C95*100</f>
        <v>7.594206300306163</v>
      </c>
      <c r="H95" s="92">
        <f t="shared" si="12"/>
        <v>826.4999999999957</v>
      </c>
      <c r="I95" s="92">
        <f>C95-D95</f>
        <v>9448.399999999972</v>
      </c>
      <c r="K95" s="152"/>
    </row>
    <row r="96" spans="1:11" ht="18.75">
      <c r="A96" s="74" t="s">
        <v>12</v>
      </c>
      <c r="B96" s="82">
        <f>10817.6-3200</f>
        <v>7617.6</v>
      </c>
      <c r="C96" s="77">
        <v>83543</v>
      </c>
      <c r="D96" s="76">
        <f>550.6+16+384.3+525.5+369.8+2.6+13.2+66.6+29.8+815.4+66.6+46.7+1198.1+490.3+154+72.1</f>
        <v>4801.599999999999</v>
      </c>
      <c r="E96" s="73">
        <f>D96/D155*100</f>
        <v>1.5141954244278797</v>
      </c>
      <c r="F96" s="75">
        <f t="shared" si="11"/>
        <v>63.03297626549044</v>
      </c>
      <c r="G96" s="72">
        <f>D96/C96*100</f>
        <v>5.747459392169301</v>
      </c>
      <c r="H96" s="76">
        <f t="shared" si="12"/>
        <v>2816.000000000001</v>
      </c>
      <c r="I96" s="78">
        <f>C96-D96</f>
        <v>78741.4</v>
      </c>
      <c r="J96" s="151"/>
      <c r="K96" s="152"/>
    </row>
    <row r="97" spans="1:11" s="150" customFormat="1" ht="18.75" thickBot="1">
      <c r="A97" s="115" t="s">
        <v>80</v>
      </c>
      <c r="B97" s="116">
        <f>3920.3-1800</f>
        <v>2120.3</v>
      </c>
      <c r="C97" s="117">
        <v>16376.6</v>
      </c>
      <c r="D97" s="118">
        <f>101+2.6+598.7</f>
        <v>702.3000000000001</v>
      </c>
      <c r="E97" s="119">
        <f>D97/D96*100</f>
        <v>14.626374541819398</v>
      </c>
      <c r="F97" s="120">
        <f t="shared" si="11"/>
        <v>33.12267132009622</v>
      </c>
      <c r="G97" s="121">
        <f>D97/C97*100</f>
        <v>4.288435939083815</v>
      </c>
      <c r="H97" s="122">
        <f t="shared" si="12"/>
        <v>1418</v>
      </c>
      <c r="I97" s="111">
        <f>C97-D97</f>
        <v>15674.300000000001</v>
      </c>
      <c r="J97" s="151"/>
      <c r="K97" s="152"/>
    </row>
    <row r="98" spans="1:11" ht="8.25" customHeight="1" thickBot="1">
      <c r="A98" s="13"/>
      <c r="B98" s="38"/>
      <c r="C98" s="46"/>
      <c r="D98" s="47"/>
      <c r="E98" s="4"/>
      <c r="F98" s="4"/>
      <c r="G98" s="4"/>
      <c r="H98" s="47"/>
      <c r="I98" s="47"/>
      <c r="J98" s="151"/>
      <c r="K98" s="152"/>
    </row>
    <row r="99" spans="1:11" ht="19.5" hidden="1" thickBot="1">
      <c r="A99" s="21" t="s">
        <v>34</v>
      </c>
      <c r="B99" s="54"/>
      <c r="C99" s="55"/>
      <c r="D99" s="56"/>
      <c r="E99" s="3">
        <f>D99/D155*100</f>
        <v>0</v>
      </c>
      <c r="F99" s="3"/>
      <c r="G99" s="3" t="e">
        <f>D99/C99*100</f>
        <v>#DIV/0!</v>
      </c>
      <c r="H99" s="35"/>
      <c r="I99" s="35">
        <f>C99-D99</f>
        <v>0</v>
      </c>
      <c r="J99" s="151"/>
      <c r="K99" s="152">
        <f t="shared" si="13"/>
        <v>0</v>
      </c>
    </row>
    <row r="100" spans="1:11" ht="5.25" customHeight="1" hidden="1" thickBot="1">
      <c r="A100" s="20"/>
      <c r="B100" s="51"/>
      <c r="C100" s="52"/>
      <c r="D100" s="53"/>
      <c r="E100" s="10"/>
      <c r="F100" s="4"/>
      <c r="G100" s="4"/>
      <c r="H100" s="47"/>
      <c r="I100" s="153"/>
      <c r="J100" s="151"/>
      <c r="K100" s="152">
        <f t="shared" si="13"/>
        <v>0</v>
      </c>
    </row>
    <row r="101" spans="1:11" s="11" customFormat="1" ht="36" customHeight="1" hidden="1" thickBot="1">
      <c r="A101" s="9" t="s">
        <v>48</v>
      </c>
      <c r="B101" s="40"/>
      <c r="C101" s="34"/>
      <c r="D101" s="35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5">
        <f>B101-D101</f>
        <v>0</v>
      </c>
      <c r="I101" s="35">
        <f>C101-D101</f>
        <v>0</v>
      </c>
      <c r="J101" s="145"/>
      <c r="K101" s="152">
        <f t="shared" si="13"/>
        <v>0</v>
      </c>
    </row>
    <row r="102" spans="1:11" ht="6.75" customHeight="1" hidden="1" thickBot="1">
      <c r="A102" s="154"/>
      <c r="B102" s="155"/>
      <c r="C102" s="52"/>
      <c r="D102" s="53"/>
      <c r="E102" s="10"/>
      <c r="F102" s="4"/>
      <c r="G102" s="4"/>
      <c r="H102" s="47"/>
      <c r="I102" s="153"/>
      <c r="J102" s="151"/>
      <c r="K102" s="152">
        <f t="shared" si="13"/>
        <v>0</v>
      </c>
    </row>
    <row r="103" spans="1:11" s="27" customFormat="1" ht="19.5" thickBot="1">
      <c r="A103" s="9" t="s">
        <v>11</v>
      </c>
      <c r="B103" s="81">
        <v>9424</v>
      </c>
      <c r="C103" s="64">
        <v>73778</v>
      </c>
      <c r="D103" s="60">
        <f>152.2+12.4+164.7+14+1585.4+13.1+10.2+18+148.6+2141.8+73.9+131.3+1879.3+351.3+97.1+16.6+48.3+0.1</f>
        <v>6858.300000000001</v>
      </c>
      <c r="E103" s="14">
        <f>D103/D155*100</f>
        <v>2.1627804230576744</v>
      </c>
      <c r="F103" s="14">
        <f>D103/B103*100</f>
        <v>72.77483022071308</v>
      </c>
      <c r="G103" s="14">
        <f aca="true" t="shared" si="14" ref="G103:G153">D103/C103*100</f>
        <v>9.295860554636885</v>
      </c>
      <c r="H103" s="60">
        <f aca="true" t="shared" si="15" ref="H103:H153">B103-D103</f>
        <v>2565.699999999999</v>
      </c>
      <c r="I103" s="60">
        <f aca="true" t="shared" si="16" ref="I103:I153">C103-D103</f>
        <v>66919.7</v>
      </c>
      <c r="J103" s="146"/>
      <c r="K103" s="152"/>
    </row>
    <row r="104" spans="1:11" s="150" customFormat="1" ht="18.75" customHeight="1">
      <c r="A104" s="90" t="s">
        <v>3</v>
      </c>
      <c r="B104" s="104">
        <v>0</v>
      </c>
      <c r="C104" s="105">
        <v>543.6</v>
      </c>
      <c r="D104" s="105"/>
      <c r="E104" s="106">
        <f>D104/D103*100</f>
        <v>0</v>
      </c>
      <c r="F104" s="94" t="e">
        <f>D104/B104*100</f>
        <v>#DIV/0!</v>
      </c>
      <c r="G104" s="106">
        <f>D104/C104*100</f>
        <v>0</v>
      </c>
      <c r="H104" s="105">
        <f t="shared" si="15"/>
        <v>0</v>
      </c>
      <c r="I104" s="105">
        <f t="shared" si="16"/>
        <v>543.6</v>
      </c>
      <c r="J104" s="151"/>
      <c r="K104" s="152"/>
    </row>
    <row r="105" spans="1:11" s="150" customFormat="1" ht="18">
      <c r="A105" s="107" t="s">
        <v>45</v>
      </c>
      <c r="B105" s="91">
        <v>8237.8</v>
      </c>
      <c r="C105" s="92">
        <v>65554.9</v>
      </c>
      <c r="D105" s="92">
        <f>152.1+12.4+164.7+14+1585.4+8+18+148.5+2111.8+73.9+131.3+1879.3+114.9+217.3+66.2+14+0.1</f>
        <v>6711.900000000001</v>
      </c>
      <c r="E105" s="94">
        <f>D105/D103*100</f>
        <v>97.86536022046279</v>
      </c>
      <c r="F105" s="94">
        <f aca="true" t="shared" si="17" ref="F105:F153">D105/B105*100</f>
        <v>81.4768506154556</v>
      </c>
      <c r="G105" s="94">
        <f t="shared" si="14"/>
        <v>10.238593911362843</v>
      </c>
      <c r="H105" s="92">
        <f t="shared" si="15"/>
        <v>1525.8999999999987</v>
      </c>
      <c r="I105" s="92">
        <f t="shared" si="16"/>
        <v>58842.99999999999</v>
      </c>
      <c r="J105" s="151"/>
      <c r="K105" s="152"/>
    </row>
    <row r="106" spans="1:11" s="150" customFormat="1" ht="54.75" hidden="1" thickBot="1">
      <c r="A106" s="108" t="s">
        <v>76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5"/>
        <v>0</v>
      </c>
      <c r="I106" s="111">
        <f>C106-D106</f>
        <v>0</v>
      </c>
      <c r="J106" s="151"/>
      <c r="K106" s="152"/>
    </row>
    <row r="107" spans="1:11" s="150" customFormat="1" ht="18.75" thickBot="1">
      <c r="A107" s="108" t="s">
        <v>27</v>
      </c>
      <c r="B107" s="109">
        <f>B103-B104-B105</f>
        <v>1186.2000000000007</v>
      </c>
      <c r="C107" s="109">
        <f>C103-C104-C105</f>
        <v>7679.5</v>
      </c>
      <c r="D107" s="109">
        <f>D103-D104-D105</f>
        <v>146.40000000000055</v>
      </c>
      <c r="E107" s="110">
        <f>D107/D103*100</f>
        <v>2.1346397795372107</v>
      </c>
      <c r="F107" s="110">
        <f t="shared" si="17"/>
        <v>12.341932220536204</v>
      </c>
      <c r="G107" s="110">
        <f t="shared" si="14"/>
        <v>1.906374112897982</v>
      </c>
      <c r="H107" s="111">
        <f t="shared" si="15"/>
        <v>1039.8000000000002</v>
      </c>
      <c r="I107" s="111">
        <f t="shared" si="16"/>
        <v>7533.099999999999</v>
      </c>
      <c r="J107" s="151"/>
      <c r="K107" s="152"/>
    </row>
    <row r="108" spans="1:12" s="2" customFormat="1" ht="26.25" customHeight="1" thickBot="1">
      <c r="A108" s="61" t="s">
        <v>28</v>
      </c>
      <c r="B108" s="62">
        <f>SUM(B109:B152)-B116-B121+B153-B143-B144-B110-B113-B124-B125-B141-B134-B132-B139-B119</f>
        <v>91017.00000000001</v>
      </c>
      <c r="C108" s="62">
        <f>SUM(C109:C152)-C116-C121+C153-C143-C144-C110-C113-C124-C125-C141-C134-C132-C139-C119</f>
        <v>668316</v>
      </c>
      <c r="D108" s="62">
        <f>SUM(D109:D152)-D116-D121+D153-D143-D144-D110-D113-D124-D125-D141-D134-D132-D139-D119</f>
        <v>67650.1</v>
      </c>
      <c r="E108" s="63">
        <f>D108/D155*100</f>
        <v>21.333612104733533</v>
      </c>
      <c r="F108" s="63">
        <f>D108/B108*100</f>
        <v>74.3268839887054</v>
      </c>
      <c r="G108" s="63">
        <f t="shared" si="14"/>
        <v>10.122472004261459</v>
      </c>
      <c r="H108" s="62">
        <f t="shared" si="15"/>
        <v>23366.90000000001</v>
      </c>
      <c r="I108" s="62">
        <f t="shared" si="16"/>
        <v>600665.9</v>
      </c>
      <c r="J108" s="143"/>
      <c r="K108" s="152"/>
      <c r="L108" s="84"/>
    </row>
    <row r="109" spans="1:12" s="150" customFormat="1" ht="37.5">
      <c r="A109" s="85" t="s">
        <v>49</v>
      </c>
      <c r="B109" s="163">
        <v>739.5</v>
      </c>
      <c r="C109" s="137">
        <v>4983.7</v>
      </c>
      <c r="D109" s="86">
        <f>1.8+140.5+138.5+0.9+33+80.9+13.3+0.1</f>
        <v>409.00000000000006</v>
      </c>
      <c r="E109" s="87">
        <f>D109/D108*100</f>
        <v>0.6045815157701171</v>
      </c>
      <c r="F109" s="87">
        <f t="shared" si="17"/>
        <v>55.30764029749832</v>
      </c>
      <c r="G109" s="87">
        <f t="shared" si="14"/>
        <v>8.206754018099003</v>
      </c>
      <c r="H109" s="88">
        <f t="shared" si="15"/>
        <v>330.49999999999994</v>
      </c>
      <c r="I109" s="88">
        <f t="shared" si="16"/>
        <v>4574.7</v>
      </c>
      <c r="K109" s="152"/>
      <c r="L109" s="89"/>
    </row>
    <row r="110" spans="1:12" s="150" customFormat="1" ht="18.75">
      <c r="A110" s="90" t="s">
        <v>25</v>
      </c>
      <c r="B110" s="91">
        <v>333.4</v>
      </c>
      <c r="C110" s="92">
        <v>2332.2</v>
      </c>
      <c r="D110" s="93">
        <f>2.4+138.5+0.9+33.1+80.9</f>
        <v>255.8</v>
      </c>
      <c r="E110" s="94">
        <f>D110/D109*100</f>
        <v>62.542787286063565</v>
      </c>
      <c r="F110" s="94">
        <f t="shared" si="17"/>
        <v>76.72465506898621</v>
      </c>
      <c r="G110" s="94">
        <f t="shared" si="14"/>
        <v>10.968184546779867</v>
      </c>
      <c r="H110" s="92">
        <f t="shared" si="15"/>
        <v>77.59999999999997</v>
      </c>
      <c r="I110" s="92">
        <f t="shared" si="16"/>
        <v>2076.3999999999996</v>
      </c>
      <c r="K110" s="152"/>
      <c r="L110" s="89"/>
    </row>
    <row r="111" spans="1:12" s="150" customFormat="1" ht="34.5" customHeight="1" hidden="1">
      <c r="A111" s="95" t="s">
        <v>75</v>
      </c>
      <c r="B111" s="139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4"/>
        <v>#DIV/0!</v>
      </c>
      <c r="H111" s="88">
        <f t="shared" si="15"/>
        <v>0</v>
      </c>
      <c r="I111" s="88">
        <f t="shared" si="16"/>
        <v>0</v>
      </c>
      <c r="K111" s="152"/>
      <c r="L111" s="89"/>
    </row>
    <row r="112" spans="1:12" s="83" customFormat="1" ht="34.5" customHeight="1">
      <c r="A112" s="95" t="s">
        <v>90</v>
      </c>
      <c r="B112" s="141">
        <v>50</v>
      </c>
      <c r="C112" s="96">
        <v>300</v>
      </c>
      <c r="D112" s="97"/>
      <c r="E112" s="87">
        <f>D112/D108*100</f>
        <v>0</v>
      </c>
      <c r="F112" s="87">
        <f t="shared" si="17"/>
        <v>0</v>
      </c>
      <c r="G112" s="87">
        <f t="shared" si="14"/>
        <v>0</v>
      </c>
      <c r="H112" s="88">
        <f t="shared" si="15"/>
        <v>50</v>
      </c>
      <c r="I112" s="88">
        <f t="shared" si="16"/>
        <v>300</v>
      </c>
      <c r="K112" s="152"/>
      <c r="L112" s="89"/>
    </row>
    <row r="113" spans="1:12" s="150" customFormat="1" ht="18.75" customHeight="1" hidden="1">
      <c r="A113" s="90" t="s">
        <v>25</v>
      </c>
      <c r="B113" s="138"/>
      <c r="C113" s="92"/>
      <c r="D113" s="93"/>
      <c r="E113" s="94"/>
      <c r="F113" s="94" t="e">
        <f t="shared" si="17"/>
        <v>#DIV/0!</v>
      </c>
      <c r="G113" s="94" t="e">
        <f t="shared" si="14"/>
        <v>#DIV/0!</v>
      </c>
      <c r="H113" s="92">
        <f t="shared" si="15"/>
        <v>0</v>
      </c>
      <c r="I113" s="92">
        <f t="shared" si="16"/>
        <v>0</v>
      </c>
      <c r="K113" s="152"/>
      <c r="L113" s="89"/>
    </row>
    <row r="114" spans="1:12" s="150" customFormat="1" ht="18.75" customHeight="1" hidden="1">
      <c r="A114" s="95" t="s">
        <v>86</v>
      </c>
      <c r="B114" s="141"/>
      <c r="C114" s="88"/>
      <c r="D114" s="86"/>
      <c r="E114" s="87">
        <f>D114/D108*100</f>
        <v>0</v>
      </c>
      <c r="F114" s="87" t="e">
        <f t="shared" si="17"/>
        <v>#DIV/0!</v>
      </c>
      <c r="G114" s="87" t="e">
        <f t="shared" si="14"/>
        <v>#DIV/0!</v>
      </c>
      <c r="H114" s="88">
        <f t="shared" si="15"/>
        <v>0</v>
      </c>
      <c r="I114" s="88">
        <f t="shared" si="16"/>
        <v>0</v>
      </c>
      <c r="K114" s="152"/>
      <c r="L114" s="89"/>
    </row>
    <row r="115" spans="1:12" s="150" customFormat="1" ht="37.5">
      <c r="A115" s="95" t="s">
        <v>35</v>
      </c>
      <c r="B115" s="164">
        <v>998.4</v>
      </c>
      <c r="C115" s="88">
        <v>5785.2</v>
      </c>
      <c r="D115" s="86">
        <f>187.7+10.4+531.5+38.4+44.9+0.1</f>
        <v>813</v>
      </c>
      <c r="E115" s="87">
        <f>D115/D108*100</f>
        <v>1.201772059464805</v>
      </c>
      <c r="F115" s="87">
        <f t="shared" si="17"/>
        <v>81.43028846153845</v>
      </c>
      <c r="G115" s="87">
        <f t="shared" si="14"/>
        <v>14.053101016386643</v>
      </c>
      <c r="H115" s="88">
        <f t="shared" si="15"/>
        <v>185.39999999999998</v>
      </c>
      <c r="I115" s="88">
        <f t="shared" si="16"/>
        <v>4972.2</v>
      </c>
      <c r="K115" s="152"/>
      <c r="L115" s="89"/>
    </row>
    <row r="116" spans="1:12" s="150" customFormat="1" ht="18.75" hidden="1">
      <c r="A116" s="98" t="s">
        <v>40</v>
      </c>
      <c r="B116" s="148"/>
      <c r="C116" s="92"/>
      <c r="D116" s="93"/>
      <c r="E116" s="87"/>
      <c r="F116" s="87" t="e">
        <f t="shared" si="17"/>
        <v>#DIV/0!</v>
      </c>
      <c r="G116" s="94" t="e">
        <f t="shared" si="14"/>
        <v>#DIV/0!</v>
      </c>
      <c r="H116" s="92">
        <f t="shared" si="15"/>
        <v>0</v>
      </c>
      <c r="I116" s="92">
        <f t="shared" si="16"/>
        <v>0</v>
      </c>
      <c r="K116" s="152"/>
      <c r="L116" s="89"/>
    </row>
    <row r="117" spans="1:12" s="83" customFormat="1" ht="18.75" customHeight="1" hidden="1">
      <c r="A117" s="95" t="s">
        <v>87</v>
      </c>
      <c r="B117" s="164"/>
      <c r="C117" s="96"/>
      <c r="D117" s="97"/>
      <c r="E117" s="99">
        <f>D117/D108*100</f>
        <v>0</v>
      </c>
      <c r="F117" s="87" t="e">
        <f t="shared" si="17"/>
        <v>#DIV/0!</v>
      </c>
      <c r="G117" s="99" t="e">
        <f t="shared" si="14"/>
        <v>#DIV/0!</v>
      </c>
      <c r="H117" s="96">
        <f t="shared" si="15"/>
        <v>0</v>
      </c>
      <c r="I117" s="96">
        <f t="shared" si="16"/>
        <v>0</v>
      </c>
      <c r="K117" s="152"/>
      <c r="L117" s="89"/>
    </row>
    <row r="118" spans="1:12" s="150" customFormat="1" ht="37.5" hidden="1">
      <c r="A118" s="95" t="s">
        <v>44</v>
      </c>
      <c r="B118" s="164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4"/>
        <v>#DIV/0!</v>
      </c>
      <c r="H118" s="88">
        <f t="shared" si="15"/>
        <v>0</v>
      </c>
      <c r="I118" s="88">
        <f t="shared" si="16"/>
        <v>0</v>
      </c>
      <c r="K118" s="152"/>
      <c r="L118" s="89"/>
    </row>
    <row r="119" spans="1:12" s="150" customFormat="1" ht="18.75" hidden="1">
      <c r="A119" s="98" t="s">
        <v>85</v>
      </c>
      <c r="B119" s="148"/>
      <c r="C119" s="149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  <c r="K119" s="152"/>
      <c r="L119" s="89"/>
    </row>
    <row r="120" spans="1:12" s="100" customFormat="1" ht="18.75">
      <c r="A120" s="95" t="s">
        <v>15</v>
      </c>
      <c r="B120" s="164">
        <v>201.7</v>
      </c>
      <c r="C120" s="96">
        <v>1024.8</v>
      </c>
      <c r="D120" s="86">
        <f>80.5+0.2+38.8+80.5</f>
        <v>200</v>
      </c>
      <c r="E120" s="87">
        <f>D120/D108*100</f>
        <v>0.29563888301717217</v>
      </c>
      <c r="F120" s="87">
        <f t="shared" si="17"/>
        <v>99.1571641051066</v>
      </c>
      <c r="G120" s="87">
        <f t="shared" si="14"/>
        <v>19.5160031225605</v>
      </c>
      <c r="H120" s="88">
        <f t="shared" si="15"/>
        <v>1.6999999999999886</v>
      </c>
      <c r="I120" s="88">
        <f t="shared" si="16"/>
        <v>824.8</v>
      </c>
      <c r="K120" s="152"/>
      <c r="L120" s="89"/>
    </row>
    <row r="121" spans="1:12" s="101" customFormat="1" ht="18.75">
      <c r="A121" s="98" t="s">
        <v>40</v>
      </c>
      <c r="B121" s="148">
        <v>161</v>
      </c>
      <c r="C121" s="92">
        <v>724.7</v>
      </c>
      <c r="D121" s="93">
        <f>80.5+80.5</f>
        <v>161</v>
      </c>
      <c r="E121" s="94">
        <f>D121/D120*100</f>
        <v>80.5</v>
      </c>
      <c r="F121" s="94">
        <f t="shared" si="17"/>
        <v>100</v>
      </c>
      <c r="G121" s="94">
        <f t="shared" si="14"/>
        <v>22.216089416310194</v>
      </c>
      <c r="H121" s="92">
        <f t="shared" si="15"/>
        <v>0</v>
      </c>
      <c r="I121" s="92">
        <f t="shared" si="16"/>
        <v>563.7</v>
      </c>
      <c r="K121" s="152"/>
      <c r="L121" s="89"/>
    </row>
    <row r="122" spans="1:12" s="100" customFormat="1" ht="18.75">
      <c r="A122" s="95" t="s">
        <v>102</v>
      </c>
      <c r="B122" s="164">
        <v>0</v>
      </c>
      <c r="C122" s="96">
        <v>347</v>
      </c>
      <c r="D122" s="86"/>
      <c r="E122" s="87">
        <f>D122/D108*100</f>
        <v>0</v>
      </c>
      <c r="F122" s="87" t="e">
        <f t="shared" si="17"/>
        <v>#DIV/0!</v>
      </c>
      <c r="G122" s="87">
        <f t="shared" si="14"/>
        <v>0</v>
      </c>
      <c r="H122" s="88">
        <f t="shared" si="15"/>
        <v>0</v>
      </c>
      <c r="I122" s="88">
        <f t="shared" si="16"/>
        <v>347</v>
      </c>
      <c r="K122" s="152"/>
      <c r="L122" s="89"/>
    </row>
    <row r="123" spans="1:13" s="100" customFormat="1" ht="21.75" customHeight="1" hidden="1">
      <c r="A123" s="95" t="s">
        <v>91</v>
      </c>
      <c r="B123" s="164"/>
      <c r="C123" s="96"/>
      <c r="D123" s="97"/>
      <c r="E123" s="99">
        <f>D123/D108*100</f>
        <v>0</v>
      </c>
      <c r="F123" s="87" t="e">
        <f t="shared" si="17"/>
        <v>#DIV/0!</v>
      </c>
      <c r="G123" s="87" t="e">
        <f t="shared" si="14"/>
        <v>#DIV/0!</v>
      </c>
      <c r="H123" s="88">
        <f t="shared" si="15"/>
        <v>0</v>
      </c>
      <c r="I123" s="88">
        <f t="shared" si="16"/>
        <v>0</v>
      </c>
      <c r="J123" s="143"/>
      <c r="K123" s="152">
        <f>H109+H112+H114+H115+H118+H120+H122+H127+H128+H129+H131+H133+H137+H138+H140+H70</f>
        <v>1395.5</v>
      </c>
      <c r="L123" s="152">
        <f>I109+I112+I114+I115+I118+I120+I122+I127+I128+I129+I131+I133+I137+I138+I140+I70</f>
        <v>17377.699999999997</v>
      </c>
      <c r="M123" s="152">
        <f>J109+J112+J114+J115+J118+J120+J122+J127+J128+J129+J131+J133+J137+J138+J140+J70</f>
        <v>0</v>
      </c>
    </row>
    <row r="124" spans="1:12" s="102" customFormat="1" ht="18.75" hidden="1">
      <c r="A124" s="90" t="s">
        <v>77</v>
      </c>
      <c r="B124" s="148"/>
      <c r="C124" s="92"/>
      <c r="D124" s="93"/>
      <c r="E124" s="87"/>
      <c r="F124" s="94" t="e">
        <f>D124/B124*100</f>
        <v>#DIV/0!</v>
      </c>
      <c r="G124" s="94" t="e">
        <f t="shared" si="14"/>
        <v>#DIV/0!</v>
      </c>
      <c r="H124" s="92">
        <f t="shared" si="15"/>
        <v>0</v>
      </c>
      <c r="I124" s="92">
        <f t="shared" si="16"/>
        <v>0</v>
      </c>
      <c r="K124" s="152"/>
      <c r="L124" s="89"/>
    </row>
    <row r="125" spans="1:12" s="102" customFormat="1" ht="18.75" hidden="1">
      <c r="A125" s="90" t="s">
        <v>46</v>
      </c>
      <c r="B125" s="148"/>
      <c r="C125" s="92"/>
      <c r="D125" s="93"/>
      <c r="E125" s="87"/>
      <c r="F125" s="94" t="e">
        <f>D125/B125*100</f>
        <v>#DIV/0!</v>
      </c>
      <c r="G125" s="94" t="e">
        <f t="shared" si="14"/>
        <v>#DIV/0!</v>
      </c>
      <c r="H125" s="92">
        <f t="shared" si="15"/>
        <v>0</v>
      </c>
      <c r="I125" s="92">
        <f t="shared" si="16"/>
        <v>0</v>
      </c>
      <c r="K125" s="152"/>
      <c r="L125" s="89"/>
    </row>
    <row r="126" spans="1:12" s="100" customFormat="1" ht="37.5">
      <c r="A126" s="95" t="s">
        <v>92</v>
      </c>
      <c r="B126" s="164">
        <v>3686.5</v>
      </c>
      <c r="C126" s="96">
        <v>6156.2</v>
      </c>
      <c r="D126" s="97">
        <f>871.9+408.1+585.9+900.5+901.8</f>
        <v>3668.2</v>
      </c>
      <c r="E126" s="99">
        <f>D126/D108*100</f>
        <v>5.4223127534179545</v>
      </c>
      <c r="F126" s="87">
        <f t="shared" si="17"/>
        <v>99.50359419503594</v>
      </c>
      <c r="G126" s="87">
        <f t="shared" si="14"/>
        <v>59.585458562099994</v>
      </c>
      <c r="H126" s="88">
        <f t="shared" si="15"/>
        <v>18.300000000000182</v>
      </c>
      <c r="I126" s="88">
        <f t="shared" si="16"/>
        <v>2488</v>
      </c>
      <c r="K126" s="152"/>
      <c r="L126" s="89"/>
    </row>
    <row r="127" spans="1:12" s="100" customFormat="1" ht="18.75" hidden="1">
      <c r="A127" s="95" t="s">
        <v>88</v>
      </c>
      <c r="B127" s="164"/>
      <c r="C127" s="96"/>
      <c r="D127" s="97"/>
      <c r="E127" s="99">
        <f>D127/D108*100</f>
        <v>0</v>
      </c>
      <c r="F127" s="87" t="e">
        <f t="shared" si="17"/>
        <v>#DIV/0!</v>
      </c>
      <c r="G127" s="87" t="e">
        <f t="shared" si="14"/>
        <v>#DIV/0!</v>
      </c>
      <c r="H127" s="88">
        <f t="shared" si="15"/>
        <v>0</v>
      </c>
      <c r="I127" s="88">
        <f t="shared" si="16"/>
        <v>0</v>
      </c>
      <c r="K127" s="152"/>
      <c r="L127" s="89"/>
    </row>
    <row r="128" spans="1:17" s="100" customFormat="1" ht="37.5">
      <c r="A128" s="95" t="s">
        <v>97</v>
      </c>
      <c r="B128" s="164">
        <v>118</v>
      </c>
      <c r="C128" s="96">
        <v>483</v>
      </c>
      <c r="D128" s="97">
        <v>2.2</v>
      </c>
      <c r="E128" s="99">
        <f>D128/D108*100</f>
        <v>0.0032520277131888936</v>
      </c>
      <c r="F128" s="87">
        <f t="shared" si="17"/>
        <v>1.864406779661017</v>
      </c>
      <c r="G128" s="87">
        <f t="shared" si="14"/>
        <v>0.45548654244306425</v>
      </c>
      <c r="H128" s="88">
        <f t="shared" si="15"/>
        <v>115.8</v>
      </c>
      <c r="I128" s="88">
        <f t="shared" si="16"/>
        <v>480.8</v>
      </c>
      <c r="K128" s="152"/>
      <c r="L128" s="89"/>
      <c r="Q128" s="89"/>
    </row>
    <row r="129" spans="1:17" s="100" customFormat="1" ht="37.5">
      <c r="A129" s="95" t="s">
        <v>82</v>
      </c>
      <c r="B129" s="164">
        <v>38.6</v>
      </c>
      <c r="C129" s="96">
        <v>154.3</v>
      </c>
      <c r="D129" s="97"/>
      <c r="E129" s="99">
        <f>D129/D108*100</f>
        <v>0</v>
      </c>
      <c r="F129" s="87">
        <f t="shared" si="17"/>
        <v>0</v>
      </c>
      <c r="G129" s="87">
        <f t="shared" si="14"/>
        <v>0</v>
      </c>
      <c r="H129" s="88">
        <f t="shared" si="15"/>
        <v>38.6</v>
      </c>
      <c r="I129" s="88">
        <f t="shared" si="16"/>
        <v>154.3</v>
      </c>
      <c r="K129" s="152"/>
      <c r="L129" s="89"/>
      <c r="Q129" s="89"/>
    </row>
    <row r="130" spans="1:12" s="100" customFormat="1" ht="18.75" hidden="1">
      <c r="A130" s="98" t="s">
        <v>80</v>
      </c>
      <c r="B130" s="164"/>
      <c r="C130" s="96"/>
      <c r="D130" s="97"/>
      <c r="E130" s="99">
        <f>D130/D109*100</f>
        <v>0</v>
      </c>
      <c r="F130" s="87" t="e">
        <f t="shared" si="17"/>
        <v>#DIV/0!</v>
      </c>
      <c r="G130" s="87" t="e">
        <f t="shared" si="14"/>
        <v>#DIV/0!</v>
      </c>
      <c r="H130" s="88">
        <f t="shared" si="15"/>
        <v>0</v>
      </c>
      <c r="I130" s="88">
        <f t="shared" si="16"/>
        <v>0</v>
      </c>
      <c r="K130" s="152"/>
      <c r="L130" s="89"/>
    </row>
    <row r="131" spans="1:17" s="100" customFormat="1" ht="37.5">
      <c r="A131" s="95" t="s">
        <v>54</v>
      </c>
      <c r="B131" s="164">
        <v>144.2</v>
      </c>
      <c r="C131" s="96">
        <v>1003.9</v>
      </c>
      <c r="D131" s="97">
        <f>7.7+12.9+2.8+0.3+0.9+48+9.2+16</f>
        <v>97.8</v>
      </c>
      <c r="E131" s="99">
        <f>D131/D108*100</f>
        <v>0.1445674137953972</v>
      </c>
      <c r="F131" s="87">
        <f t="shared" si="17"/>
        <v>67.82246879334258</v>
      </c>
      <c r="G131" s="87">
        <f t="shared" si="14"/>
        <v>9.742006175913936</v>
      </c>
      <c r="H131" s="88">
        <f t="shared" si="15"/>
        <v>46.39999999999999</v>
      </c>
      <c r="I131" s="88">
        <f t="shared" si="16"/>
        <v>906.1</v>
      </c>
      <c r="K131" s="152"/>
      <c r="L131" s="89"/>
      <c r="Q131" s="89"/>
    </row>
    <row r="132" spans="1:17" s="101" customFormat="1" ht="18.75">
      <c r="A132" s="90" t="s">
        <v>85</v>
      </c>
      <c r="B132" s="148">
        <v>67.3</v>
      </c>
      <c r="C132" s="92">
        <v>553.3</v>
      </c>
      <c r="D132" s="93">
        <f>7.7+48+7.7</f>
        <v>63.400000000000006</v>
      </c>
      <c r="E132" s="94">
        <f>D132/D131*100</f>
        <v>64.82617586912066</v>
      </c>
      <c r="F132" s="94">
        <f>D132/B132*100</f>
        <v>94.20505200594354</v>
      </c>
      <c r="G132" s="94">
        <f t="shared" si="14"/>
        <v>11.458521597686609</v>
      </c>
      <c r="H132" s="92">
        <f t="shared" si="15"/>
        <v>3.8999999999999915</v>
      </c>
      <c r="I132" s="92">
        <f t="shared" si="16"/>
        <v>489.9</v>
      </c>
      <c r="K132" s="152"/>
      <c r="L132" s="89"/>
      <c r="Q132" s="133"/>
    </row>
    <row r="133" spans="1:12" s="100" customFormat="1" ht="37.5">
      <c r="A133" s="95" t="s">
        <v>100</v>
      </c>
      <c r="B133" s="164">
        <v>0</v>
      </c>
      <c r="C133" s="96">
        <v>250</v>
      </c>
      <c r="D133" s="97"/>
      <c r="E133" s="99">
        <f>D133/D108*100</f>
        <v>0</v>
      </c>
      <c r="F133" s="87" t="e">
        <f t="shared" si="17"/>
        <v>#DIV/0!</v>
      </c>
      <c r="G133" s="87">
        <f t="shared" si="14"/>
        <v>0</v>
      </c>
      <c r="H133" s="88">
        <f t="shared" si="15"/>
        <v>0</v>
      </c>
      <c r="I133" s="88">
        <f t="shared" si="16"/>
        <v>250</v>
      </c>
      <c r="K133" s="152"/>
      <c r="L133" s="89"/>
    </row>
    <row r="134" spans="1:12" s="101" customFormat="1" ht="18.75" hidden="1">
      <c r="A134" s="98" t="s">
        <v>40</v>
      </c>
      <c r="B134" s="148"/>
      <c r="C134" s="92"/>
      <c r="D134" s="93"/>
      <c r="E134" s="94"/>
      <c r="F134" s="94" t="e">
        <f>D134/B134*100</f>
        <v>#DIV/0!</v>
      </c>
      <c r="G134" s="94" t="e">
        <f t="shared" si="14"/>
        <v>#DIV/0!</v>
      </c>
      <c r="H134" s="92">
        <f t="shared" si="15"/>
        <v>0</v>
      </c>
      <c r="I134" s="92">
        <f t="shared" si="16"/>
        <v>0</v>
      </c>
      <c r="K134" s="152"/>
      <c r="L134" s="89"/>
    </row>
    <row r="135" spans="1:12" s="100" customFormat="1" ht="35.25" customHeight="1" hidden="1">
      <c r="A135" s="95" t="s">
        <v>99</v>
      </c>
      <c r="B135" s="164"/>
      <c r="C135" s="96"/>
      <c r="D135" s="97"/>
      <c r="E135" s="99">
        <f>D135/D108*100</f>
        <v>0</v>
      </c>
      <c r="F135" s="87" t="e">
        <f t="shared" si="17"/>
        <v>#DIV/0!</v>
      </c>
      <c r="G135" s="87" t="e">
        <f t="shared" si="14"/>
        <v>#DIV/0!</v>
      </c>
      <c r="H135" s="88">
        <f t="shared" si="15"/>
        <v>0</v>
      </c>
      <c r="I135" s="88">
        <f>C135-D135</f>
        <v>0</v>
      </c>
      <c r="K135" s="152"/>
      <c r="L135" s="89"/>
    </row>
    <row r="136" spans="1:12" s="100" customFormat="1" ht="21.75" customHeight="1" hidden="1">
      <c r="A136" s="95" t="s">
        <v>98</v>
      </c>
      <c r="B136" s="164"/>
      <c r="C136" s="96"/>
      <c r="D136" s="97"/>
      <c r="E136" s="99">
        <f>D136/D108*100</f>
        <v>0</v>
      </c>
      <c r="F136" s="87" t="e">
        <f t="shared" si="17"/>
        <v>#DIV/0!</v>
      </c>
      <c r="G136" s="87" t="e">
        <f t="shared" si="14"/>
        <v>#DIV/0!</v>
      </c>
      <c r="H136" s="88">
        <f t="shared" si="15"/>
        <v>0</v>
      </c>
      <c r="I136" s="88">
        <f t="shared" si="16"/>
        <v>0</v>
      </c>
      <c r="K136" s="152"/>
      <c r="L136" s="89"/>
    </row>
    <row r="137" spans="1:12" s="100" customFormat="1" ht="35.25" customHeight="1">
      <c r="A137" s="95" t="s">
        <v>84</v>
      </c>
      <c r="B137" s="164">
        <v>430.7</v>
      </c>
      <c r="C137" s="96">
        <v>2964.5</v>
      </c>
      <c r="D137" s="97"/>
      <c r="E137" s="99">
        <f>D137/D108*100</f>
        <v>0</v>
      </c>
      <c r="F137" s="87">
        <f t="shared" si="17"/>
        <v>0</v>
      </c>
      <c r="G137" s="87">
        <f t="shared" si="14"/>
        <v>0</v>
      </c>
      <c r="H137" s="88">
        <f t="shared" si="15"/>
        <v>430.7</v>
      </c>
      <c r="I137" s="88">
        <f t="shared" si="16"/>
        <v>2964.5</v>
      </c>
      <c r="K137" s="152"/>
      <c r="L137" s="89"/>
    </row>
    <row r="138" spans="1:12" s="100" customFormat="1" ht="39" customHeight="1">
      <c r="A138" s="95" t="s">
        <v>51</v>
      </c>
      <c r="B138" s="164">
        <v>0</v>
      </c>
      <c r="C138" s="96">
        <v>350</v>
      </c>
      <c r="D138" s="97"/>
      <c r="E138" s="99">
        <f>D138/D108*100</f>
        <v>0</v>
      </c>
      <c r="F138" s="87" t="e">
        <f t="shared" si="17"/>
        <v>#DIV/0!</v>
      </c>
      <c r="G138" s="87">
        <f t="shared" si="14"/>
        <v>0</v>
      </c>
      <c r="H138" s="88">
        <f t="shared" si="15"/>
        <v>0</v>
      </c>
      <c r="I138" s="88">
        <f t="shared" si="16"/>
        <v>350</v>
      </c>
      <c r="K138" s="152"/>
      <c r="L138" s="89"/>
    </row>
    <row r="139" spans="1:12" s="101" customFormat="1" ht="18.75">
      <c r="A139" s="90" t="s">
        <v>85</v>
      </c>
      <c r="B139" s="148">
        <v>0</v>
      </c>
      <c r="C139" s="92">
        <v>110</v>
      </c>
      <c r="D139" s="93"/>
      <c r="E139" s="94"/>
      <c r="F139" s="87" t="e">
        <f>D139/B139*100</f>
        <v>#DIV/0!</v>
      </c>
      <c r="G139" s="94">
        <f>D139/C139*100</f>
        <v>0</v>
      </c>
      <c r="H139" s="92">
        <f>B139-D139</f>
        <v>0</v>
      </c>
      <c r="I139" s="92">
        <f>C139-D139</f>
        <v>110</v>
      </c>
      <c r="K139" s="152"/>
      <c r="L139" s="89"/>
    </row>
    <row r="140" spans="1:12" s="100" customFormat="1" ht="32.25" customHeight="1">
      <c r="A140" s="95" t="s">
        <v>81</v>
      </c>
      <c r="B140" s="164">
        <v>133.9</v>
      </c>
      <c r="C140" s="96">
        <v>642.9</v>
      </c>
      <c r="D140" s="97">
        <v>3.4</v>
      </c>
      <c r="E140" s="99">
        <f>D140/D108*100</f>
        <v>0.005025861011291926</v>
      </c>
      <c r="F140" s="87">
        <f>D140/B140*100</f>
        <v>2.5392083644510826</v>
      </c>
      <c r="G140" s="87">
        <f>D140/C140*100</f>
        <v>0.5288536319800902</v>
      </c>
      <c r="H140" s="88">
        <f t="shared" si="15"/>
        <v>130.5</v>
      </c>
      <c r="I140" s="88">
        <f t="shared" si="16"/>
        <v>639.5</v>
      </c>
      <c r="K140" s="152"/>
      <c r="L140" s="89"/>
    </row>
    <row r="141" spans="1:12" s="101" customFormat="1" ht="18.75">
      <c r="A141" s="90" t="s">
        <v>25</v>
      </c>
      <c r="B141" s="148">
        <v>113.9</v>
      </c>
      <c r="C141" s="92">
        <v>524.9</v>
      </c>
      <c r="D141" s="93">
        <v>0.4</v>
      </c>
      <c r="E141" s="94">
        <f>D141/D140*100</f>
        <v>11.764705882352942</v>
      </c>
      <c r="F141" s="94">
        <f t="shared" si="17"/>
        <v>0.35118525021949076</v>
      </c>
      <c r="G141" s="94">
        <f>D141/C141*100</f>
        <v>0.07620499142693847</v>
      </c>
      <c r="H141" s="92">
        <f t="shared" si="15"/>
        <v>113.5</v>
      </c>
      <c r="I141" s="92">
        <f t="shared" si="16"/>
        <v>524.5</v>
      </c>
      <c r="K141" s="152"/>
      <c r="L141" s="89"/>
    </row>
    <row r="142" spans="1:12" s="100" customFormat="1" ht="18.75">
      <c r="A142" s="95" t="s">
        <v>93</v>
      </c>
      <c r="B142" s="164">
        <v>335.1</v>
      </c>
      <c r="C142" s="96">
        <v>2262.8</v>
      </c>
      <c r="D142" s="97">
        <f>33.6+100.1+61.4+1.9+88.9</f>
        <v>285.9</v>
      </c>
      <c r="E142" s="99">
        <f>D142/D108*100</f>
        <v>0.4226157832730476</v>
      </c>
      <c r="F142" s="87">
        <f t="shared" si="17"/>
        <v>85.31781557743956</v>
      </c>
      <c r="G142" s="87">
        <f t="shared" si="14"/>
        <v>12.634788757291847</v>
      </c>
      <c r="H142" s="88">
        <f t="shared" si="15"/>
        <v>49.200000000000045</v>
      </c>
      <c r="I142" s="88">
        <f t="shared" si="16"/>
        <v>1976.9</v>
      </c>
      <c r="J142" s="143"/>
      <c r="K142" s="152"/>
      <c r="L142" s="89"/>
    </row>
    <row r="143" spans="1:13" s="101" customFormat="1" ht="18.75">
      <c r="A143" s="98" t="s">
        <v>40</v>
      </c>
      <c r="B143" s="148">
        <v>274.8</v>
      </c>
      <c r="C143" s="92">
        <v>1867.4</v>
      </c>
      <c r="D143" s="93">
        <f>33.6+99.1+51.9+81.4</f>
        <v>266</v>
      </c>
      <c r="E143" s="94">
        <f>D143/D142*100</f>
        <v>93.03952430919902</v>
      </c>
      <c r="F143" s="94">
        <f t="shared" si="17"/>
        <v>96.79767103347889</v>
      </c>
      <c r="G143" s="94">
        <f t="shared" si="14"/>
        <v>14.244403984149084</v>
      </c>
      <c r="H143" s="92">
        <f t="shared" si="15"/>
        <v>8.800000000000011</v>
      </c>
      <c r="I143" s="92">
        <f t="shared" si="16"/>
        <v>1601.4</v>
      </c>
      <c r="J143" s="144"/>
      <c r="K143" s="152"/>
      <c r="L143" s="89">
        <f>B109+B112+B115+B118+B120+B127+B128+B129+B131+B137+B72+B133+B138+B122+B114+B140+B71</f>
        <v>2920.9</v>
      </c>
      <c r="M143" s="133">
        <f>H70+H109+H115+H120+H122+H128+H129+H131+H133+H137+H138+H140+50</f>
        <v>1395.5</v>
      </c>
    </row>
    <row r="144" spans="1:13" s="101" customFormat="1" ht="18.75">
      <c r="A144" s="90" t="s">
        <v>25</v>
      </c>
      <c r="B144" s="148">
        <v>17.7</v>
      </c>
      <c r="C144" s="92">
        <v>48</v>
      </c>
      <c r="D144" s="93">
        <v>9.3</v>
      </c>
      <c r="E144" s="94">
        <f>D144/D142*100</f>
        <v>3.252885624344177</v>
      </c>
      <c r="F144" s="94">
        <f t="shared" si="17"/>
        <v>52.54237288135594</v>
      </c>
      <c r="G144" s="94">
        <f>D144/C144*100</f>
        <v>19.375</v>
      </c>
      <c r="H144" s="92">
        <f t="shared" si="15"/>
        <v>8.399999999999999</v>
      </c>
      <c r="I144" s="92">
        <f t="shared" si="16"/>
        <v>38.7</v>
      </c>
      <c r="J144" s="144"/>
      <c r="K144" s="152"/>
      <c r="L144" s="89" t="s">
        <v>122</v>
      </c>
      <c r="M144" s="133">
        <f>H110+H141</f>
        <v>191.09999999999997</v>
      </c>
    </row>
    <row r="145" spans="1:12" s="100" customFormat="1" ht="33.75" customHeight="1">
      <c r="A145" s="103" t="s">
        <v>53</v>
      </c>
      <c r="B145" s="164"/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4"/>
        <v>#DIV/0!</v>
      </c>
      <c r="H145" s="88">
        <f t="shared" si="15"/>
        <v>0</v>
      </c>
      <c r="I145" s="88">
        <f t="shared" si="16"/>
        <v>0</v>
      </c>
      <c r="J145" s="143"/>
      <c r="K145" s="152"/>
      <c r="L145" s="89"/>
    </row>
    <row r="146" spans="1:12" s="100" customFormat="1" ht="18.75">
      <c r="A146" s="103" t="s">
        <v>89</v>
      </c>
      <c r="B146" s="164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4"/>
        <v>#DIV/0!</v>
      </c>
      <c r="H146" s="88">
        <f t="shared" si="15"/>
        <v>0</v>
      </c>
      <c r="I146" s="88">
        <f t="shared" si="16"/>
        <v>0</v>
      </c>
      <c r="J146" s="143"/>
      <c r="K146" s="152"/>
      <c r="L146" s="89"/>
    </row>
    <row r="147" spans="1:12" s="100" customFormat="1" ht="18.75">
      <c r="A147" s="103" t="s">
        <v>94</v>
      </c>
      <c r="B147" s="164">
        <f>11954.6+9000</f>
        <v>20954.6</v>
      </c>
      <c r="C147" s="96">
        <v>148561.8</v>
      </c>
      <c r="D147" s="97">
        <f>457.7+20.2+2395.4+103.8+376.7+1013.1+85.7+519.6+3989.1+192.1+9596.6+54.9+0.1</f>
        <v>18805</v>
      </c>
      <c r="E147" s="99">
        <f>D147/D108*100</f>
        <v>27.797445975689612</v>
      </c>
      <c r="F147" s="87">
        <f t="shared" si="17"/>
        <v>89.74163190898419</v>
      </c>
      <c r="G147" s="87">
        <f t="shared" si="14"/>
        <v>12.658031876296599</v>
      </c>
      <c r="H147" s="88">
        <f t="shared" si="15"/>
        <v>2149.5999999999985</v>
      </c>
      <c r="I147" s="88">
        <f t="shared" si="16"/>
        <v>129756.79999999999</v>
      </c>
      <c r="J147" s="143"/>
      <c r="K147" s="152"/>
      <c r="L147" s="89"/>
    </row>
    <row r="148" spans="1:12" s="100" customFormat="1" ht="18.75" hidden="1">
      <c r="A148" s="103" t="s">
        <v>83</v>
      </c>
      <c r="B148" s="164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4"/>
        <v>#DIV/0!</v>
      </c>
      <c r="H148" s="88">
        <f t="shared" si="15"/>
        <v>0</v>
      </c>
      <c r="I148" s="88">
        <f t="shared" si="16"/>
        <v>0</v>
      </c>
      <c r="J148" s="143"/>
      <c r="K148" s="152"/>
      <c r="L148" s="89"/>
    </row>
    <row r="149" spans="1:12" s="100" customFormat="1" ht="37.5" hidden="1">
      <c r="A149" s="103" t="s">
        <v>101</v>
      </c>
      <c r="B149" s="164"/>
      <c r="C149" s="96"/>
      <c r="D149" s="97"/>
      <c r="E149" s="99">
        <f>D149/D110*100</f>
        <v>0</v>
      </c>
      <c r="F149" s="87" t="e">
        <f>D149/B149*100</f>
        <v>#DIV/0!</v>
      </c>
      <c r="G149" s="87" t="e">
        <f>D149/C149*100</f>
        <v>#DIV/0!</v>
      </c>
      <c r="H149" s="88">
        <f>B149-D149</f>
        <v>0</v>
      </c>
      <c r="I149" s="88">
        <f>C149-D149</f>
        <v>0</v>
      </c>
      <c r="J149" s="143"/>
      <c r="K149" s="152"/>
      <c r="L149" s="89"/>
    </row>
    <row r="150" spans="1:12" s="100" customFormat="1" ht="18.75">
      <c r="A150" s="95" t="s">
        <v>95</v>
      </c>
      <c r="B150" s="164">
        <v>0</v>
      </c>
      <c r="C150" s="96">
        <v>93.9</v>
      </c>
      <c r="D150" s="97"/>
      <c r="E150" s="99">
        <f>D150/D108*100</f>
        <v>0</v>
      </c>
      <c r="F150" s="87" t="e">
        <f t="shared" si="17"/>
        <v>#DIV/0!</v>
      </c>
      <c r="G150" s="87">
        <f t="shared" si="14"/>
        <v>0</v>
      </c>
      <c r="H150" s="88">
        <f t="shared" si="15"/>
        <v>0</v>
      </c>
      <c r="I150" s="88">
        <f t="shared" si="16"/>
        <v>93.9</v>
      </c>
      <c r="J150" s="143"/>
      <c r="K150" s="152"/>
      <c r="L150" s="89"/>
    </row>
    <row r="151" spans="1:12" s="100" customFormat="1" ht="18" customHeight="1">
      <c r="A151" s="95" t="s">
        <v>74</v>
      </c>
      <c r="B151" s="141">
        <f>57.4+1342</f>
        <v>1399.4</v>
      </c>
      <c r="C151" s="170">
        <f>509.5+13731.5</f>
        <v>14241</v>
      </c>
      <c r="D151" s="97"/>
      <c r="E151" s="99">
        <f>D151/D108*100</f>
        <v>0</v>
      </c>
      <c r="F151" s="87">
        <f t="shared" si="17"/>
        <v>0</v>
      </c>
      <c r="G151" s="87">
        <f t="shared" si="14"/>
        <v>0</v>
      </c>
      <c r="H151" s="88">
        <f t="shared" si="15"/>
        <v>1399.4</v>
      </c>
      <c r="I151" s="88">
        <f t="shared" si="16"/>
        <v>14241</v>
      </c>
      <c r="J151" s="143"/>
      <c r="K151" s="152"/>
      <c r="L151" s="89"/>
    </row>
    <row r="152" spans="1:12" s="100" customFormat="1" ht="19.5" customHeight="1">
      <c r="A152" s="95" t="s">
        <v>47</v>
      </c>
      <c r="B152" s="141">
        <f>56265.6-5800</f>
        <v>50465.6</v>
      </c>
      <c r="C152" s="96">
        <v>410786</v>
      </c>
      <c r="D152" s="97">
        <f>9702+30405.7+10266.3+91.6-29196.2+1482.1+9293.3</f>
        <v>32044.799999999996</v>
      </c>
      <c r="E152" s="99">
        <f>D152/D108*100</f>
        <v>47.36844439254339</v>
      </c>
      <c r="F152" s="87">
        <f t="shared" si="17"/>
        <v>63.498303795060394</v>
      </c>
      <c r="G152" s="87">
        <f t="shared" si="14"/>
        <v>7.800850077656005</v>
      </c>
      <c r="H152" s="88">
        <f t="shared" si="15"/>
        <v>18420.800000000003</v>
      </c>
      <c r="I152" s="88">
        <f>C152-D152</f>
        <v>378741.2</v>
      </c>
      <c r="K152" s="152"/>
      <c r="L152" s="89"/>
    </row>
    <row r="153" spans="1:12" s="100" customFormat="1" ht="18.75">
      <c r="A153" s="95" t="s">
        <v>96</v>
      </c>
      <c r="B153" s="141">
        <v>11320.8</v>
      </c>
      <c r="C153" s="96">
        <v>67925</v>
      </c>
      <c r="D153" s="97">
        <f>1886.8+1886.8+1886.8+1886.8+1886.8+1886.8</f>
        <v>11320.8</v>
      </c>
      <c r="E153" s="99">
        <f>D153/D108*100</f>
        <v>16.73434333430401</v>
      </c>
      <c r="F153" s="87">
        <f t="shared" si="17"/>
        <v>100</v>
      </c>
      <c r="G153" s="87">
        <f t="shared" si="14"/>
        <v>16.66661759293338</v>
      </c>
      <c r="H153" s="88">
        <f t="shared" si="15"/>
        <v>0</v>
      </c>
      <c r="I153" s="88">
        <f t="shared" si="16"/>
        <v>56604.2</v>
      </c>
      <c r="K153" s="152"/>
      <c r="L153" s="89"/>
    </row>
    <row r="154" spans="1:12" s="2" customFormat="1" ht="19.5" thickBot="1">
      <c r="A154" s="24" t="s">
        <v>29</v>
      </c>
      <c r="B154" s="142"/>
      <c r="C154" s="58"/>
      <c r="D154" s="39">
        <f>D43+D70+D73+D78+D80+D88+D103+D108+D101+D85+D99</f>
        <v>74592</v>
      </c>
      <c r="E154" s="12"/>
      <c r="F154" s="12"/>
      <c r="G154" s="4"/>
      <c r="H154" s="47"/>
      <c r="I154" s="39"/>
      <c r="K154" s="152"/>
      <c r="L154" s="28"/>
    </row>
    <row r="155" spans="1:12" ht="19.5" thickBot="1">
      <c r="A155" s="9" t="s">
        <v>18</v>
      </c>
      <c r="B155" s="35">
        <f>B6+B18+B33+B43+B52+B60+B70+B73+B78+B80+B88+B91+B96+B103+B108+B101+B85+B99+B46</f>
        <v>390904.5999999999</v>
      </c>
      <c r="C155" s="35">
        <f>C6+C18+C33+C43+C52+C60+C70+C73+C78+C80+C88+C91+C96+C103+C108+C101+C85+C99+C46</f>
        <v>2485266.8000000003</v>
      </c>
      <c r="D155" s="35">
        <f>D6+D18+D33+D43+D52+D60+D70+D73+D78+D80+D88+D91+D96+D103+D108+D101+D85+D99+D46</f>
        <v>317105.7</v>
      </c>
      <c r="E155" s="23">
        <v>100</v>
      </c>
      <c r="F155" s="3">
        <f>D155/B155*100</f>
        <v>81.12099473886981</v>
      </c>
      <c r="G155" s="3">
        <f aca="true" t="shared" si="18" ref="G155:G161">D155/C155*100</f>
        <v>12.7594228515023</v>
      </c>
      <c r="H155" s="35">
        <f>B155-D155</f>
        <v>73798.8999999999</v>
      </c>
      <c r="I155" s="35">
        <f aca="true" t="shared" si="19" ref="I155:I161">C155-D155</f>
        <v>2168161.1</v>
      </c>
      <c r="K155" s="134">
        <f>D155-114199.9</f>
        <v>202905.80000000002</v>
      </c>
      <c r="L155" s="156"/>
    </row>
    <row r="156" spans="1:12" ht="18.75">
      <c r="A156" s="13" t="s">
        <v>5</v>
      </c>
      <c r="B156" s="46">
        <f>B8+B20+B34+B53+B61+B92+B116+B121+B47+B143+B134+B104</f>
        <v>158975.19999999998</v>
      </c>
      <c r="C156" s="46">
        <f>C8+C20+C34+C53+C61+C92+C116+C121+C47+C143+C134+C104</f>
        <v>984456.8000000002</v>
      </c>
      <c r="D156" s="46">
        <f>D8+D20+D34+D53+D61+D92+D116+D121+D47+D143+D134+D104</f>
        <v>154641</v>
      </c>
      <c r="E156" s="4">
        <f>D156/D155*100</f>
        <v>48.7663892512812</v>
      </c>
      <c r="F156" s="4">
        <f aca="true" t="shared" si="20" ref="F156:F161">D156/B156*100</f>
        <v>97.27366281029998</v>
      </c>
      <c r="G156" s="4">
        <f t="shared" si="18"/>
        <v>15.708256573574378</v>
      </c>
      <c r="H156" s="47">
        <f aca="true" t="shared" si="21" ref="H156:H161">B156-D156</f>
        <v>4334.1999999999825</v>
      </c>
      <c r="I156" s="57">
        <f t="shared" si="19"/>
        <v>829815.8000000002</v>
      </c>
      <c r="K156" s="152"/>
      <c r="L156" s="156"/>
    </row>
    <row r="157" spans="1:12" ht="18.75">
      <c r="A157" s="13" t="s">
        <v>0</v>
      </c>
      <c r="B157" s="161">
        <f>B11+B23+B36+B56+B63+B93+B50+B144+B110+B113+B97+B141+B130</f>
        <v>39907.399999999994</v>
      </c>
      <c r="C157" s="161">
        <f>C11+C23+C36+C56+C63+C93+C50+C144+C110+C113+C97+C141+C130</f>
        <v>125178.8</v>
      </c>
      <c r="D157" s="161">
        <f>D11+D23+D36+D56+D63+D93+D50+D144+D110+D113+D97+D141+D130</f>
        <v>16980.499999999996</v>
      </c>
      <c r="E157" s="4">
        <f>D157/D155*100</f>
        <v>5.354839096238257</v>
      </c>
      <c r="F157" s="4">
        <f t="shared" si="20"/>
        <v>42.54975267744829</v>
      </c>
      <c r="G157" s="4">
        <f t="shared" si="18"/>
        <v>13.56499662882213</v>
      </c>
      <c r="H157" s="47">
        <f>B157-D157</f>
        <v>22926.899999999998</v>
      </c>
      <c r="I157" s="57">
        <f t="shared" si="19"/>
        <v>108198.3</v>
      </c>
      <c r="K157" s="152"/>
      <c r="L157" s="157"/>
    </row>
    <row r="158" spans="1:12" ht="18.75">
      <c r="A158" s="13" t="s">
        <v>1</v>
      </c>
      <c r="B158" s="162">
        <f>B22+B10+B55+B49+B62+B35+B125</f>
        <v>9905.499999999998</v>
      </c>
      <c r="C158" s="162">
        <f>C22+C10+C55+C49+C62+C35+C125</f>
        <v>48385.3</v>
      </c>
      <c r="D158" s="162">
        <f>D22+D10+D55+D49+D62+D35+D125</f>
        <v>6032.099999999999</v>
      </c>
      <c r="E158" s="4">
        <f>D158/D155*100</f>
        <v>1.9022363836411642</v>
      </c>
      <c r="F158" s="4">
        <f t="shared" si="20"/>
        <v>60.89647165716017</v>
      </c>
      <c r="G158" s="4">
        <f t="shared" si="18"/>
        <v>12.466802933948944</v>
      </c>
      <c r="H158" s="47">
        <f t="shared" si="21"/>
        <v>3873.3999999999987</v>
      </c>
      <c r="I158" s="57">
        <f t="shared" si="19"/>
        <v>42353.200000000004</v>
      </c>
      <c r="K158" s="152"/>
      <c r="L158" s="156"/>
    </row>
    <row r="159" spans="1:12" ht="21" customHeight="1">
      <c r="A159" s="13" t="s">
        <v>14</v>
      </c>
      <c r="B159" s="162">
        <f>B12+B24+B105+B64+B38+B94+B132+B57+B139+B119+B44</f>
        <v>11235.199999999999</v>
      </c>
      <c r="C159" s="162">
        <f>C12+C24+C105+C64+C38+C94+C132+C57+C139+C119+C44</f>
        <v>89996.19999999998</v>
      </c>
      <c r="D159" s="162">
        <f>D12+D24+D105+D64+D38+D94+D132+D57+D139+D119+D44</f>
        <v>9075.400000000001</v>
      </c>
      <c r="E159" s="4">
        <f>D159/D155*100</f>
        <v>2.861947924619457</v>
      </c>
      <c r="F159" s="4">
        <f t="shared" si="20"/>
        <v>80.77648818000571</v>
      </c>
      <c r="G159" s="4">
        <f t="shared" si="18"/>
        <v>10.084203555261226</v>
      </c>
      <c r="H159" s="47">
        <f>B159-D159</f>
        <v>2159.7999999999975</v>
      </c>
      <c r="I159" s="57">
        <f t="shared" si="19"/>
        <v>80920.79999999999</v>
      </c>
      <c r="K159" s="152"/>
      <c r="L159" s="157"/>
    </row>
    <row r="160" spans="1:12" ht="18.75">
      <c r="A160" s="13" t="s">
        <v>2</v>
      </c>
      <c r="B160" s="46">
        <f>B9+B21+B48+B54+B124</f>
        <v>16.3</v>
      </c>
      <c r="C160" s="46">
        <f>C9+C21+C48+C54+C124</f>
        <v>122.9</v>
      </c>
      <c r="D160" s="46">
        <f>D9+D21+D48+D54+D124</f>
        <v>16.3</v>
      </c>
      <c r="E160" s="4">
        <f>D160/D155*100</f>
        <v>0.005140241881492512</v>
      </c>
      <c r="F160" s="4">
        <f t="shared" si="20"/>
        <v>100</v>
      </c>
      <c r="G160" s="4">
        <f t="shared" si="18"/>
        <v>13.262815296989421</v>
      </c>
      <c r="H160" s="47">
        <f t="shared" si="21"/>
        <v>0</v>
      </c>
      <c r="I160" s="57">
        <f t="shared" si="19"/>
        <v>106.60000000000001</v>
      </c>
      <c r="K160" s="152"/>
      <c r="L160" s="156"/>
    </row>
    <row r="161" spans="1:12" ht="19.5" thickBot="1">
      <c r="A161" s="79" t="s">
        <v>27</v>
      </c>
      <c r="B161" s="59">
        <f>B155-B156-B157-B158-B159-B160</f>
        <v>170864.99999999994</v>
      </c>
      <c r="C161" s="59">
        <f>C155-C156-C157-C158-C159-C160</f>
        <v>1237126.8</v>
      </c>
      <c r="D161" s="59">
        <f>D155-D156-D157-D158-D159-D160</f>
        <v>130360.40000000001</v>
      </c>
      <c r="E161" s="26">
        <f>D161/D155*100</f>
        <v>41.10944710233843</v>
      </c>
      <c r="F161" s="26">
        <f t="shared" si="20"/>
        <v>76.29438445556437</v>
      </c>
      <c r="G161" s="26">
        <f t="shared" si="18"/>
        <v>10.537351547149411</v>
      </c>
      <c r="H161" s="80">
        <f t="shared" si="21"/>
        <v>40504.59999999993</v>
      </c>
      <c r="I161" s="80">
        <f t="shared" si="19"/>
        <v>1106766.4000000001</v>
      </c>
      <c r="K161" s="152"/>
      <c r="L161" s="157"/>
    </row>
    <row r="162" spans="7:8" ht="12.75">
      <c r="G162" s="158"/>
      <c r="H162" s="158"/>
    </row>
    <row r="163" spans="3:11" ht="12.75">
      <c r="C163" s="152"/>
      <c r="G163" s="158"/>
      <c r="H163" s="158"/>
      <c r="I163" s="158"/>
      <c r="K163" s="159"/>
    </row>
    <row r="164" spans="4:11" ht="12.75">
      <c r="D164" s="152"/>
      <c r="G164" s="158"/>
      <c r="H164" s="158"/>
      <c r="K164" s="159"/>
    </row>
    <row r="165" spans="7:11" ht="12.75">
      <c r="G165" s="158"/>
      <c r="H165" s="158"/>
      <c r="K165" s="159"/>
    </row>
    <row r="166" spans="2:8" ht="12.75">
      <c r="B166" s="160"/>
      <c r="C166" s="160"/>
      <c r="D166" s="152"/>
      <c r="G166" s="158"/>
      <c r="H166" s="158"/>
    </row>
    <row r="167" spans="7:8" ht="12.75">
      <c r="G167" s="158"/>
      <c r="H167" s="158"/>
    </row>
    <row r="168" spans="2:8" ht="12.75">
      <c r="B168" s="160"/>
      <c r="C168" s="160"/>
      <c r="D168" s="160"/>
      <c r="G168" s="158"/>
      <c r="H168" s="158"/>
    </row>
    <row r="169" spans="2:8" ht="12.75">
      <c r="B169" s="160"/>
      <c r="G169" s="158"/>
      <c r="H169" s="158"/>
    </row>
    <row r="170" spans="2:8" ht="12.75">
      <c r="B170" s="160"/>
      <c r="C170" s="152"/>
      <c r="G170" s="158"/>
      <c r="H170" s="158"/>
    </row>
    <row r="171" spans="7:8" ht="12.75">
      <c r="G171" s="158"/>
      <c r="H171" s="158"/>
    </row>
    <row r="172" spans="7:8" ht="12.75">
      <c r="G172" s="158"/>
      <c r="H172" s="158"/>
    </row>
    <row r="173" spans="7:8" ht="12.75">
      <c r="G173" s="158"/>
      <c r="H173" s="158"/>
    </row>
    <row r="174" spans="7:8" ht="12.75">
      <c r="G174" s="158"/>
      <c r="H174" s="158"/>
    </row>
    <row r="175" spans="7:8" ht="12.75">
      <c r="G175" s="158"/>
      <c r="H175" s="158"/>
    </row>
    <row r="176" spans="3:8" ht="12.75">
      <c r="C176" s="152"/>
      <c r="G176" s="158"/>
      <c r="H176" s="158"/>
    </row>
    <row r="177" spans="7:8" ht="12.75">
      <c r="G177" s="158"/>
      <c r="H177" s="158"/>
    </row>
    <row r="178" spans="7:8" ht="12.75">
      <c r="G178" s="158"/>
      <c r="H178" s="158"/>
    </row>
    <row r="179" spans="7:8" ht="12.75">
      <c r="G179" s="158"/>
      <c r="H179" s="158"/>
    </row>
    <row r="180" spans="7:8" ht="12.75">
      <c r="G180" s="158"/>
      <c r="H180" s="158"/>
    </row>
    <row r="181" spans="7:8" ht="12.75">
      <c r="G181" s="158"/>
      <c r="H181" s="158"/>
    </row>
    <row r="182" spans="7:8" ht="12.75">
      <c r="G182" s="158"/>
      <c r="H182" s="158"/>
    </row>
    <row r="183" spans="7:8" ht="12.75">
      <c r="G183" s="158"/>
      <c r="H183" s="158"/>
    </row>
    <row r="184" spans="7:8" ht="12.75">
      <c r="G184" s="158"/>
      <c r="H184" s="158"/>
    </row>
    <row r="185" spans="7:8" ht="12.75">
      <c r="G185" s="158"/>
      <c r="H185" s="158"/>
    </row>
    <row r="186" spans="7:8" ht="12.75">
      <c r="G186" s="158"/>
      <c r="H186" s="158"/>
    </row>
    <row r="187" spans="7:8" ht="12.75">
      <c r="G187" s="158"/>
      <c r="H187" s="158"/>
    </row>
    <row r="188" spans="7:8" ht="12.75">
      <c r="G188" s="158"/>
      <c r="H188" s="158"/>
    </row>
    <row r="189" spans="7:8" ht="12.75">
      <c r="G189" s="158"/>
      <c r="H189" s="158"/>
    </row>
    <row r="190" spans="7:8" ht="12.75">
      <c r="G190" s="158"/>
      <c r="H190" s="158"/>
    </row>
    <row r="191" spans="7:8" ht="12.75">
      <c r="G191" s="158"/>
      <c r="H191" s="158"/>
    </row>
    <row r="192" spans="7:8" ht="12.75">
      <c r="G192" s="158"/>
      <c r="H192" s="158"/>
    </row>
    <row r="193" spans="7:8" ht="12.75">
      <c r="G193" s="158"/>
      <c r="H193" s="158"/>
    </row>
    <row r="194" spans="7:8" ht="12.75">
      <c r="G194" s="158"/>
      <c r="H194" s="158"/>
    </row>
    <row r="195" spans="7:8" ht="12.75">
      <c r="G195" s="158"/>
      <c r="H195" s="158"/>
    </row>
    <row r="196" spans="7:8" ht="12.75">
      <c r="G196" s="158"/>
      <c r="H196" s="158"/>
    </row>
    <row r="197" spans="7:8" ht="12.75">
      <c r="G197" s="158"/>
      <c r="H197" s="158"/>
    </row>
    <row r="198" spans="7:8" ht="12.75">
      <c r="G198" s="158"/>
      <c r="H198" s="158"/>
    </row>
    <row r="199" spans="7:8" ht="12.75">
      <c r="G199" s="158"/>
      <c r="H199" s="158"/>
    </row>
    <row r="200" spans="7:8" ht="12.75">
      <c r="G200" s="158"/>
      <c r="H200" s="158"/>
    </row>
    <row r="201" spans="7:8" ht="12.75">
      <c r="G201" s="158"/>
      <c r="H201" s="158"/>
    </row>
    <row r="202" spans="7:8" ht="12.75">
      <c r="G202" s="158"/>
      <c r="H202" s="158"/>
    </row>
    <row r="203" spans="7:8" ht="12.75">
      <c r="G203" s="158"/>
      <c r="H203" s="158"/>
    </row>
    <row r="204" spans="7:8" ht="12.75">
      <c r="G204" s="158"/>
      <c r="H204" s="158"/>
    </row>
    <row r="205" spans="7:8" ht="12.75">
      <c r="G205" s="158"/>
      <c r="H205" s="158"/>
    </row>
    <row r="206" spans="7:8" ht="12.75">
      <c r="G206" s="158"/>
      <c r="H206" s="158"/>
    </row>
    <row r="207" spans="7:8" ht="12.75">
      <c r="G207" s="158"/>
      <c r="H207" s="158"/>
    </row>
    <row r="208" spans="7:8" ht="12.75">
      <c r="G208" s="158"/>
      <c r="H208" s="158"/>
    </row>
    <row r="209" spans="7:8" ht="12.75">
      <c r="G209" s="158"/>
      <c r="H209" s="158"/>
    </row>
    <row r="210" spans="7:8" ht="12.75">
      <c r="G210" s="158"/>
      <c r="H210" s="158"/>
    </row>
    <row r="211" spans="7:8" ht="12.75">
      <c r="G211" s="158"/>
      <c r="H211" s="158"/>
    </row>
    <row r="212" spans="7:8" ht="12.75">
      <c r="G212" s="158"/>
      <c r="H212" s="158"/>
    </row>
    <row r="213" spans="7:8" ht="12.75">
      <c r="G213" s="158"/>
      <c r="H213" s="158"/>
    </row>
    <row r="214" spans="7:8" ht="12.75">
      <c r="G214" s="158"/>
      <c r="H214" s="158"/>
    </row>
    <row r="215" spans="7:8" ht="12.75">
      <c r="G215" s="158"/>
      <c r="H215" s="158"/>
    </row>
    <row r="216" spans="7:8" ht="12.75">
      <c r="G216" s="158"/>
      <c r="H216" s="158"/>
    </row>
    <row r="217" spans="7:8" ht="12.75">
      <c r="G217" s="158"/>
      <c r="H217" s="158"/>
    </row>
    <row r="218" spans="7:8" ht="12.75">
      <c r="G218" s="158"/>
      <c r="H218" s="158"/>
    </row>
    <row r="219" spans="7:8" ht="12.75">
      <c r="G219" s="158"/>
      <c r="H219" s="158"/>
    </row>
    <row r="220" spans="7:8" ht="12.75">
      <c r="G220" s="158"/>
      <c r="H220" s="158"/>
    </row>
    <row r="221" spans="7:8" ht="12.75">
      <c r="G221" s="158"/>
      <c r="H221" s="158"/>
    </row>
    <row r="222" spans="7:8" ht="12.75">
      <c r="G222" s="158"/>
      <c r="H222" s="158"/>
    </row>
    <row r="223" spans="7:8" ht="12.75">
      <c r="G223" s="158"/>
      <c r="H223" s="158"/>
    </row>
    <row r="224" spans="7:8" ht="12.75">
      <c r="G224" s="158"/>
      <c r="H224" s="158"/>
    </row>
    <row r="225" spans="7:8" ht="12.75">
      <c r="G225" s="158"/>
      <c r="H225" s="158"/>
    </row>
    <row r="226" spans="7:8" ht="12.75">
      <c r="G226" s="158"/>
      <c r="H226" s="158"/>
    </row>
    <row r="227" spans="7:8" ht="12.75">
      <c r="G227" s="158"/>
      <c r="H227" s="158"/>
    </row>
    <row r="228" spans="7:8" ht="12.75">
      <c r="G228" s="158"/>
      <c r="H228" s="158"/>
    </row>
    <row r="229" spans="7:8" ht="12.75">
      <c r="G229" s="158"/>
      <c r="H229" s="158"/>
    </row>
    <row r="230" spans="7:8" ht="12.75">
      <c r="G230" s="158"/>
      <c r="H230" s="158"/>
    </row>
    <row r="231" spans="7:8" ht="12.75">
      <c r="G231" s="158"/>
      <c r="H231" s="158"/>
    </row>
    <row r="232" spans="7:8" ht="12.75">
      <c r="G232" s="158"/>
      <c r="H232" s="158"/>
    </row>
    <row r="233" spans="7:8" ht="12.75">
      <c r="G233" s="158"/>
      <c r="H233" s="158"/>
    </row>
    <row r="234" spans="7:8" ht="12.75">
      <c r="G234" s="158"/>
      <c r="H234" s="158"/>
    </row>
    <row r="235" spans="7:8" ht="12.75">
      <c r="G235" s="158"/>
      <c r="H235" s="158"/>
    </row>
    <row r="236" spans="7:8" ht="12.75">
      <c r="G236" s="158"/>
      <c r="H236" s="158"/>
    </row>
    <row r="237" spans="7:8" ht="12.75">
      <c r="G237" s="158"/>
      <c r="H237" s="158"/>
    </row>
    <row r="238" spans="7:8" ht="12.75">
      <c r="G238" s="158"/>
      <c r="H238" s="158"/>
    </row>
    <row r="239" spans="7:8" ht="12.75">
      <c r="G239" s="158"/>
      <c r="H239" s="158"/>
    </row>
    <row r="240" spans="7:8" ht="12.75">
      <c r="G240" s="158"/>
      <c r="H240" s="158"/>
    </row>
    <row r="241" spans="7:8" ht="12.75">
      <c r="G241" s="158"/>
      <c r="H241" s="158"/>
    </row>
    <row r="242" spans="7:8" ht="12.75">
      <c r="G242" s="158"/>
      <c r="H242" s="158"/>
    </row>
    <row r="243" spans="7:8" ht="12.75">
      <c r="G243" s="158"/>
      <c r="H243" s="158"/>
    </row>
    <row r="244" spans="7:8" ht="12.75">
      <c r="G244" s="158"/>
      <c r="H244" s="158"/>
    </row>
    <row r="245" spans="7:8" ht="12.75">
      <c r="G245" s="158"/>
      <c r="H245" s="158"/>
    </row>
    <row r="246" spans="7:8" ht="12.75">
      <c r="G246" s="158"/>
      <c r="H246" s="158"/>
    </row>
    <row r="247" spans="7:8" ht="12.75">
      <c r="G247" s="158"/>
      <c r="H247" s="158"/>
    </row>
    <row r="248" spans="7:8" ht="12.75">
      <c r="G248" s="158"/>
      <c r="H248" s="158"/>
    </row>
    <row r="249" spans="7:8" ht="12.75">
      <c r="G249" s="158"/>
      <c r="H249" s="158"/>
    </row>
    <row r="250" spans="7:8" ht="12.75">
      <c r="G250" s="158"/>
      <c r="H250" s="158"/>
    </row>
    <row r="251" spans="7:8" ht="12.75">
      <c r="G251" s="158"/>
      <c r="H251" s="158"/>
    </row>
    <row r="252" spans="7:8" ht="12.75">
      <c r="G252" s="158"/>
      <c r="H252" s="158"/>
    </row>
    <row r="253" spans="7:8" ht="12.75">
      <c r="G253" s="158"/>
      <c r="H253" s="158"/>
    </row>
    <row r="254" spans="7:8" ht="12.75">
      <c r="G254" s="158"/>
      <c r="H254" s="158"/>
    </row>
    <row r="255" spans="7:8" ht="12.75">
      <c r="G255" s="158"/>
      <c r="H255" s="158"/>
    </row>
    <row r="256" spans="7:8" ht="12.75">
      <c r="G256" s="158"/>
      <c r="H256" s="158"/>
    </row>
    <row r="257" spans="7:8" ht="12.75">
      <c r="G257" s="158"/>
      <c r="H257" s="158"/>
    </row>
    <row r="258" spans="7:8" ht="12.75">
      <c r="G258" s="158"/>
      <c r="H258" s="158"/>
    </row>
    <row r="259" spans="7:8" ht="12.75">
      <c r="G259" s="158"/>
      <c r="H259" s="158"/>
    </row>
    <row r="260" spans="7:8" ht="12.75">
      <c r="G260" s="158"/>
      <c r="H260" s="158"/>
    </row>
    <row r="261" spans="7:8" ht="12.75">
      <c r="G261" s="158"/>
      <c r="H261" s="158"/>
    </row>
    <row r="262" spans="7:8" ht="12.75">
      <c r="G262" s="158"/>
      <c r="H262" s="158"/>
    </row>
    <row r="263" spans="7:8" ht="12.75">
      <c r="G263" s="158"/>
      <c r="H263" s="158"/>
    </row>
    <row r="264" spans="7:8" ht="12.75">
      <c r="G264" s="158"/>
      <c r="H264" s="158"/>
    </row>
    <row r="265" spans="7:8" ht="12.75">
      <c r="G265" s="158"/>
      <c r="H265" s="158"/>
    </row>
    <row r="266" spans="7:8" ht="12.75">
      <c r="G266" s="158"/>
      <c r="H266" s="158"/>
    </row>
    <row r="267" spans="7:8" ht="12.75">
      <c r="G267" s="158"/>
      <c r="H267" s="158"/>
    </row>
    <row r="268" spans="7:8" ht="12.75">
      <c r="G268" s="158"/>
      <c r="H268" s="158"/>
    </row>
    <row r="269" spans="7:8" ht="12.75">
      <c r="G269" s="158"/>
      <c r="H269" s="158"/>
    </row>
    <row r="270" spans="7:8" ht="12.75">
      <c r="G270" s="158"/>
      <c r="H270" s="158"/>
    </row>
    <row r="271" spans="7:8" ht="12.75">
      <c r="G271" s="158"/>
      <c r="H271" s="158"/>
    </row>
    <row r="272" spans="7:8" ht="12.75">
      <c r="G272" s="158"/>
      <c r="H272" s="158"/>
    </row>
    <row r="273" spans="7:8" ht="12.75">
      <c r="G273" s="158"/>
      <c r="H273" s="158"/>
    </row>
    <row r="274" spans="7:8" ht="12.75">
      <c r="G274" s="158"/>
      <c r="H274" s="158"/>
    </row>
    <row r="275" spans="7:8" ht="12.75">
      <c r="G275" s="158"/>
      <c r="H275" s="158"/>
    </row>
    <row r="276" spans="7:8" ht="12.75">
      <c r="G276" s="158"/>
      <c r="H276" s="158"/>
    </row>
    <row r="277" spans="7:8" ht="12.75">
      <c r="G277" s="158"/>
      <c r="H277" s="158"/>
    </row>
    <row r="278" spans="7:8" ht="12.75">
      <c r="G278" s="158"/>
      <c r="H278" s="158"/>
    </row>
    <row r="279" spans="7:8" ht="12.75">
      <c r="G279" s="158"/>
      <c r="H279" s="158"/>
    </row>
    <row r="280" spans="7:8" ht="12.75">
      <c r="G280" s="158"/>
      <c r="H280" s="158"/>
    </row>
    <row r="281" spans="7:8" ht="12.75">
      <c r="G281" s="158"/>
      <c r="H281" s="158"/>
    </row>
    <row r="282" spans="7:8" ht="12.75">
      <c r="G282" s="158"/>
      <c r="H282" s="158"/>
    </row>
    <row r="283" spans="7:8" ht="12.75">
      <c r="G283" s="158"/>
      <c r="H283" s="158"/>
    </row>
    <row r="284" spans="7:8" ht="12.75">
      <c r="G284" s="158"/>
      <c r="H284" s="158"/>
    </row>
    <row r="285" spans="7:8" ht="12.75">
      <c r="G285" s="158"/>
      <c r="H285" s="158"/>
    </row>
    <row r="286" spans="7:8" ht="12.75">
      <c r="G286" s="158"/>
      <c r="H286" s="158"/>
    </row>
    <row r="287" spans="7:8" ht="12.75">
      <c r="G287" s="158"/>
      <c r="H287" s="158"/>
    </row>
    <row r="288" spans="7:8" ht="12.75">
      <c r="G288" s="158"/>
      <c r="H288" s="158"/>
    </row>
    <row r="289" spans="7:8" ht="12.75">
      <c r="G289" s="158"/>
      <c r="H289" s="158"/>
    </row>
    <row r="290" spans="7:8" ht="12.75">
      <c r="G290" s="158"/>
      <c r="H290" s="158"/>
    </row>
    <row r="291" spans="7:8" ht="12.75">
      <c r="G291" s="158"/>
      <c r="H291" s="158"/>
    </row>
    <row r="292" spans="7:8" ht="12.75">
      <c r="G292" s="158"/>
      <c r="H292" s="158"/>
    </row>
    <row r="293" spans="7:8" ht="12.75">
      <c r="G293" s="158"/>
      <c r="H293" s="158"/>
    </row>
    <row r="294" spans="7:8" ht="12.75">
      <c r="G294" s="158"/>
      <c r="H294" s="158"/>
    </row>
    <row r="295" spans="7:8" ht="12.75">
      <c r="G295" s="158"/>
      <c r="H295" s="158"/>
    </row>
    <row r="296" spans="7:8" ht="12.75">
      <c r="G296" s="158"/>
      <c r="H296" s="158"/>
    </row>
    <row r="297" spans="7:8" ht="12.75">
      <c r="G297" s="158"/>
      <c r="H297" s="158"/>
    </row>
    <row r="298" spans="7:8" ht="12.75">
      <c r="G298" s="158"/>
      <c r="H298" s="158"/>
    </row>
    <row r="299" spans="7:8" ht="12.75">
      <c r="G299" s="158"/>
      <c r="H299" s="158"/>
    </row>
    <row r="300" spans="7:8" ht="12.75">
      <c r="G300" s="158"/>
      <c r="H300" s="158"/>
    </row>
    <row r="301" spans="7:8" ht="12.75">
      <c r="G301" s="158"/>
      <c r="H301" s="158"/>
    </row>
    <row r="302" spans="7:8" ht="12.75">
      <c r="G302" s="158"/>
      <c r="H302" s="158"/>
    </row>
    <row r="303" spans="7:8" ht="12.75">
      <c r="G303" s="158"/>
      <c r="H303" s="158"/>
    </row>
    <row r="304" spans="7:8" ht="12.75">
      <c r="G304" s="158"/>
      <c r="H304" s="158"/>
    </row>
    <row r="305" spans="7:8" ht="12.75">
      <c r="G305" s="158"/>
      <c r="H305" s="158"/>
    </row>
    <row r="306" spans="7:8" ht="12.75">
      <c r="G306" s="158"/>
      <c r="H306" s="158"/>
    </row>
    <row r="307" spans="7:8" ht="12.75">
      <c r="G307" s="158"/>
      <c r="H307" s="158"/>
    </row>
    <row r="308" spans="7:8" ht="12.75">
      <c r="G308" s="158"/>
      <c r="H308" s="158"/>
    </row>
    <row r="309" spans="7:8" ht="12.75">
      <c r="G309" s="158"/>
      <c r="H309" s="158"/>
    </row>
    <row r="310" spans="7:8" ht="12.75">
      <c r="G310" s="158"/>
      <c r="H310" s="158"/>
    </row>
    <row r="311" spans="7:8" ht="12.75">
      <c r="G311" s="158"/>
      <c r="H311" s="158"/>
    </row>
    <row r="312" spans="7:8" ht="12.75">
      <c r="G312" s="158"/>
      <c r="H312" s="158"/>
    </row>
    <row r="313" spans="7:8" ht="12.75">
      <c r="G313" s="158"/>
      <c r="H313" s="158"/>
    </row>
    <row r="314" spans="7:8" ht="12.75">
      <c r="G314" s="158"/>
      <c r="H314" s="158"/>
    </row>
    <row r="315" spans="7:8" ht="12.75">
      <c r="G315" s="158"/>
      <c r="H315" s="158"/>
    </row>
    <row r="316" spans="7:8" ht="12.75">
      <c r="G316" s="158"/>
      <c r="H316" s="158"/>
    </row>
    <row r="317" spans="7:8" ht="12.75">
      <c r="G317" s="158"/>
      <c r="H317" s="158"/>
    </row>
    <row r="318" spans="7:8" ht="12.75">
      <c r="G318" s="158"/>
      <c r="H318" s="158"/>
    </row>
    <row r="319" spans="7:8" ht="12.75">
      <c r="G319" s="158"/>
      <c r="H319" s="158"/>
    </row>
    <row r="320" spans="7:8" ht="12.75">
      <c r="G320" s="158"/>
      <c r="H320" s="158"/>
    </row>
    <row r="321" spans="7:8" ht="12.75">
      <c r="G321" s="158"/>
      <c r="H321" s="158"/>
    </row>
    <row r="322" spans="7:8" ht="12.75">
      <c r="G322" s="158"/>
      <c r="H322" s="158"/>
    </row>
    <row r="323" spans="7:8" ht="12.75">
      <c r="G323" s="158"/>
      <c r="H323" s="158"/>
    </row>
    <row r="324" spans="7:8" ht="12.75">
      <c r="G324" s="158"/>
      <c r="H324" s="158"/>
    </row>
    <row r="325" spans="7:8" ht="12.75">
      <c r="G325" s="158"/>
      <c r="H325" s="158"/>
    </row>
    <row r="326" spans="7:8" ht="12.75">
      <c r="G326" s="158"/>
      <c r="H326" s="158"/>
    </row>
    <row r="327" spans="7:8" ht="12.75">
      <c r="G327" s="158"/>
      <c r="H327" s="158"/>
    </row>
    <row r="328" spans="7:8" ht="12.75">
      <c r="G328" s="158"/>
      <c r="H328" s="158"/>
    </row>
    <row r="329" spans="7:8" ht="12.75">
      <c r="G329" s="158"/>
      <c r="H329" s="158"/>
    </row>
    <row r="330" spans="7:8" ht="12.75">
      <c r="G330" s="158"/>
      <c r="H330" s="158"/>
    </row>
    <row r="331" spans="7:8" ht="12.75">
      <c r="G331" s="158"/>
      <c r="H331" s="158"/>
    </row>
    <row r="332" spans="7:8" ht="12.75">
      <c r="G332" s="158"/>
      <c r="H332" s="158"/>
    </row>
    <row r="333" spans="7:8" ht="12.75">
      <c r="G333" s="158"/>
      <c r="H333" s="158"/>
    </row>
    <row r="334" spans="7:8" ht="12.75">
      <c r="G334" s="158"/>
      <c r="H334" s="158"/>
    </row>
    <row r="335" spans="7:8" ht="12.75">
      <c r="G335" s="158"/>
      <c r="H335" s="158"/>
    </row>
    <row r="336" spans="7:8" ht="12.75">
      <c r="G336" s="158"/>
      <c r="H336" s="158"/>
    </row>
    <row r="337" spans="7:8" ht="12.75">
      <c r="G337" s="158"/>
      <c r="H337" s="158"/>
    </row>
    <row r="338" spans="7:8" ht="12.75">
      <c r="G338" s="158"/>
      <c r="H338" s="158"/>
    </row>
    <row r="339" spans="7:8" ht="12.75">
      <c r="G339" s="158"/>
      <c r="H339" s="158"/>
    </row>
    <row r="340" spans="7:8" ht="12.75">
      <c r="G340" s="158"/>
      <c r="H340" s="158"/>
    </row>
    <row r="341" spans="7:8" ht="12.75">
      <c r="G341" s="158"/>
      <c r="H341" s="158"/>
    </row>
    <row r="342" spans="7:8" ht="12.75">
      <c r="G342" s="158"/>
      <c r="H342" s="158"/>
    </row>
    <row r="343" spans="7:8" ht="12.75">
      <c r="G343" s="158"/>
      <c r="H343" s="158"/>
    </row>
    <row r="344" spans="7:8" ht="12.75">
      <c r="G344" s="158"/>
      <c r="H344" s="158"/>
    </row>
    <row r="345" spans="7:8" ht="12.75">
      <c r="G345" s="158"/>
      <c r="H345" s="158"/>
    </row>
    <row r="346" spans="7:8" ht="12.75">
      <c r="G346" s="158"/>
      <c r="H346" s="158"/>
    </row>
    <row r="347" spans="7:8" ht="12.75">
      <c r="G347" s="158"/>
      <c r="H347" s="158"/>
    </row>
    <row r="348" spans="7:8" ht="12.75">
      <c r="G348" s="158"/>
      <c r="H348" s="158"/>
    </row>
    <row r="349" spans="7:8" ht="12.75">
      <c r="G349" s="158"/>
      <c r="H349" s="158"/>
    </row>
    <row r="350" spans="7:8" ht="12.75">
      <c r="G350" s="158"/>
      <c r="H350" s="158"/>
    </row>
    <row r="351" spans="7:8" ht="12.75">
      <c r="G351" s="158"/>
      <c r="H351" s="158"/>
    </row>
    <row r="352" spans="7:8" ht="12.75">
      <c r="G352" s="158"/>
      <c r="H352" s="158"/>
    </row>
    <row r="353" spans="7:8" ht="12.75">
      <c r="G353" s="158"/>
      <c r="H353" s="158"/>
    </row>
    <row r="354" spans="7:8" ht="12.75">
      <c r="G354" s="158"/>
      <c r="H354" s="158"/>
    </row>
    <row r="355" spans="7:8" ht="12.75">
      <c r="G355" s="158"/>
      <c r="H355" s="158"/>
    </row>
    <row r="356" spans="7:8" ht="12.75">
      <c r="G356" s="158"/>
      <c r="H356" s="158"/>
    </row>
    <row r="357" spans="7:8" ht="12.75">
      <c r="G357" s="158"/>
      <c r="H357" s="158"/>
    </row>
    <row r="358" spans="7:8" ht="12.75">
      <c r="G358" s="158"/>
      <c r="H358" s="158"/>
    </row>
    <row r="359" spans="7:8" ht="12.75">
      <c r="G359" s="158"/>
      <c r="H359" s="158"/>
    </row>
    <row r="360" spans="7:8" ht="12.75">
      <c r="G360" s="158"/>
      <c r="H360" s="158"/>
    </row>
    <row r="361" spans="7:8" ht="12.75">
      <c r="G361" s="158"/>
      <c r="H361" s="158"/>
    </row>
    <row r="362" spans="7:8" ht="12.75">
      <c r="G362" s="158"/>
      <c r="H362" s="158"/>
    </row>
    <row r="363" spans="7:8" ht="12.75">
      <c r="G363" s="158"/>
      <c r="H363" s="158"/>
    </row>
    <row r="364" spans="7:8" ht="12.75">
      <c r="G364" s="158"/>
      <c r="H364" s="158"/>
    </row>
    <row r="365" spans="7:8" ht="12.75">
      <c r="G365" s="158"/>
      <c r="H365" s="158"/>
    </row>
    <row r="366" spans="7:8" ht="12.75">
      <c r="G366" s="158"/>
      <c r="H366" s="158"/>
    </row>
    <row r="367" spans="7:8" ht="12.75">
      <c r="G367" s="158"/>
      <c r="H367" s="158"/>
    </row>
    <row r="368" spans="7:8" ht="12.75">
      <c r="G368" s="158"/>
      <c r="H368" s="158"/>
    </row>
    <row r="369" spans="7:8" ht="12.75">
      <c r="G369" s="158"/>
      <c r="H369" s="158"/>
    </row>
    <row r="370" spans="7:8" ht="12.75">
      <c r="G370" s="158"/>
      <c r="H370" s="158"/>
    </row>
    <row r="371" spans="7:8" ht="12.75">
      <c r="G371" s="158"/>
      <c r="H371" s="158"/>
    </row>
    <row r="372" spans="7:8" ht="12.75">
      <c r="G372" s="158"/>
      <c r="H372" s="158"/>
    </row>
    <row r="373" spans="7:8" ht="12.75">
      <c r="G373" s="158"/>
      <c r="H373" s="158"/>
    </row>
    <row r="374" spans="7:8" ht="12.75">
      <c r="G374" s="158"/>
      <c r="H374" s="158"/>
    </row>
    <row r="375" spans="7:8" ht="12.75">
      <c r="G375" s="158"/>
      <c r="H375" s="158"/>
    </row>
    <row r="376" spans="7:8" ht="12.75">
      <c r="G376" s="158"/>
      <c r="H376" s="158"/>
    </row>
    <row r="377" spans="7:8" ht="12.75">
      <c r="G377" s="158"/>
      <c r="H377" s="158"/>
    </row>
    <row r="378" spans="7:8" ht="12.75">
      <c r="G378" s="158"/>
      <c r="H378" s="158"/>
    </row>
    <row r="379" spans="7:8" ht="12.75">
      <c r="G379" s="158"/>
      <c r="H379" s="158"/>
    </row>
    <row r="380" spans="7:8" ht="12.75">
      <c r="G380" s="158"/>
      <c r="H380" s="158"/>
    </row>
    <row r="381" spans="7:8" ht="12.75">
      <c r="G381" s="158"/>
      <c r="H381" s="158"/>
    </row>
    <row r="382" spans="7:8" ht="12.75">
      <c r="G382" s="158"/>
      <c r="H382" s="158"/>
    </row>
    <row r="383" spans="7:8" ht="12.75">
      <c r="G383" s="158"/>
      <c r="H383" s="158"/>
    </row>
    <row r="384" spans="7:8" ht="12.75">
      <c r="G384" s="158"/>
      <c r="H384" s="158"/>
    </row>
    <row r="385" spans="7:8" ht="12.75">
      <c r="G385" s="158"/>
      <c r="H385" s="158"/>
    </row>
    <row r="386" spans="7:8" ht="12.75">
      <c r="G386" s="158"/>
      <c r="H386" s="158"/>
    </row>
    <row r="387" spans="7:8" ht="12.75">
      <c r="G387" s="158"/>
      <c r="H387" s="158"/>
    </row>
    <row r="388" spans="7:8" ht="12.75">
      <c r="G388" s="158"/>
      <c r="H388" s="158"/>
    </row>
    <row r="389" spans="7:8" ht="12.75">
      <c r="G389" s="158"/>
      <c r="H389" s="158"/>
    </row>
    <row r="390" spans="7:8" ht="12.75">
      <c r="G390" s="158"/>
      <c r="H390" s="158"/>
    </row>
    <row r="391" spans="7:8" ht="12.75">
      <c r="G391" s="158"/>
      <c r="H391" s="158"/>
    </row>
    <row r="392" spans="7:8" ht="12.75">
      <c r="G392" s="158"/>
      <c r="H392" s="158"/>
    </row>
    <row r="393" spans="7:8" ht="12.75">
      <c r="G393" s="158"/>
      <c r="H393" s="158"/>
    </row>
    <row r="394" spans="7:8" ht="12.75">
      <c r="G394" s="158"/>
      <c r="H394" s="158"/>
    </row>
    <row r="395" spans="7:8" ht="12.75">
      <c r="G395" s="158"/>
      <c r="H395" s="158"/>
    </row>
    <row r="396" spans="7:8" ht="12.75">
      <c r="G396" s="158"/>
      <c r="H396" s="158"/>
    </row>
    <row r="397" spans="7:8" ht="12.75">
      <c r="G397" s="158"/>
      <c r="H397" s="158"/>
    </row>
    <row r="398" spans="7:8" ht="12.75">
      <c r="G398" s="158"/>
      <c r="H398" s="158"/>
    </row>
    <row r="399" spans="7:8" ht="12.75">
      <c r="G399" s="158"/>
      <c r="H399" s="158"/>
    </row>
    <row r="400" spans="7:8" ht="12.75">
      <c r="G400" s="158"/>
      <c r="H400" s="158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2019-02-28T14:44:08Z</dcterms:modified>
  <cp:category/>
  <cp:version/>
  <cp:contentType/>
  <cp:contentStatus/>
</cp:coreProperties>
</file>